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905" tabRatio="601" activeTab="0"/>
  </bookViews>
  <sheets>
    <sheet name="fin.zdroje" sheetId="1" r:id="rId1"/>
  </sheets>
  <definedNames>
    <definedName name="_xlfn.SINGLE" hidden="1">#NAME?</definedName>
    <definedName name="kontab" localSheetId="0">'fin.zdroje'!#REF!</definedName>
  </definedNames>
  <calcPr fullCalcOnLoad="1"/>
</workbook>
</file>

<file path=xl/sharedStrings.xml><?xml version="1.0" encoding="utf-8"?>
<sst xmlns="http://schemas.openxmlformats.org/spreadsheetml/2006/main" count="116" uniqueCount="88">
  <si>
    <t>Položka</t>
  </si>
  <si>
    <t>Název seskupení položek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</si>
  <si>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</si>
  <si>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</si>
  <si>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</si>
  <si>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</si>
  <si>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</si>
  <si>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</si>
  <si>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</si>
  <si>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</si>
  <si>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</si>
  <si>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</si>
  <si>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</si>
  <si>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</si>
  <si>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</si>
  <si>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</si>
  <si>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</si>
  <si>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</si>
  <si>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</si>
  <si>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</si>
  <si>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</si>
  <si>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</si>
  <si>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</si>
  <si>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</si>
  <si>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</si>
  <si>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</si>
  <si>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</si>
  <si>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</si>
  <si>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</si>
  <si>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</si>
  <si>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</si>
  <si>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</si>
  <si>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</si>
  <si>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</si>
  <si>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Schválený rozpočet</t>
  </si>
  <si>
    <t xml:space="preserve">Skutečnost </t>
  </si>
  <si>
    <t>Zbývá rozdělit</t>
  </si>
  <si>
    <t>splátky půjček od MČ</t>
  </si>
  <si>
    <t>Skutečnost</t>
  </si>
  <si>
    <t>Schválený rozp.</t>
  </si>
  <si>
    <t>Státní transfery na přímé náklady ve školství</t>
  </si>
  <si>
    <t>náhrada státních transferů na přímé náklady ve školství</t>
  </si>
  <si>
    <t>PŘIJATÉ TRANSFERY (součet za třídu 4)</t>
  </si>
  <si>
    <t xml:space="preserve">Daně z příjmů právnických osob - obec                        </t>
  </si>
  <si>
    <t>zapojení úspory hospodaření z minulých let do RS</t>
  </si>
  <si>
    <t>8124,27</t>
  </si>
  <si>
    <t>použití rezervy vytvořené v minulých letech na dluhovou službu</t>
  </si>
  <si>
    <t>výnos emise obligací</t>
  </si>
  <si>
    <t>6XXX</t>
  </si>
  <si>
    <t>5XXX</t>
  </si>
  <si>
    <t>135X</t>
  </si>
  <si>
    <t>Ostatní odvody z vybraných činností a služeb</t>
  </si>
  <si>
    <t>8XXX</t>
  </si>
  <si>
    <t xml:space="preserve">          </t>
  </si>
  <si>
    <t>Návrh rozpočtu</t>
  </si>
  <si>
    <t>Kapitálové výdaje - limit</t>
  </si>
  <si>
    <t>Neinvest. přijaté transfery ze st. rozp v rámci souhrn. dot. vztahu</t>
  </si>
  <si>
    <t>Neinvest. dotace z rozpočtu HMP pro MČ - souhrn. vztah</t>
  </si>
  <si>
    <t>Převody z vlast. fondů hosp. (podnikatelské) činnosti</t>
  </si>
  <si>
    <t>převod nevyčerpaných fin. prostředků z minulých let do RS</t>
  </si>
  <si>
    <t>náhrada státních transferů v rámci souhrn. dotačního vztahu</t>
  </si>
  <si>
    <t>Běžné výdaje - limit (s výjimkou pol. 5347)</t>
  </si>
  <si>
    <t>R O Z P O Č T O V É   P Ř Í J M Y</t>
  </si>
  <si>
    <t>Ú H R N   P Ř Í J M Ů  (třídy 1+2+3+4)</t>
  </si>
  <si>
    <t>F I N A N Č N Í   Z D R O J E   C E L K E M</t>
  </si>
  <si>
    <t>Převody mezi HMP a MČ - příjmy</t>
  </si>
  <si>
    <t>Pozn. Skutečnost váže k vybraným ukazatelům schváleného rozpočtu.</t>
  </si>
  <si>
    <t>tranše z úvěru od EIB</t>
  </si>
  <si>
    <t xml:space="preserve">                                             </t>
  </si>
  <si>
    <t>zapojení dočasně volných zdrojů do RS</t>
  </si>
  <si>
    <t>Rezerva na dluhovou službu - tř. 8</t>
  </si>
  <si>
    <t>138X</t>
  </si>
  <si>
    <t>Daně , popl.a jiná peněžitá plnění v oblasti hazardních her</t>
  </si>
  <si>
    <t>Rezerva Fondu rozvoje dostupného bydlení na území HMP</t>
  </si>
  <si>
    <t>převod z Fondu rozvoje dostupného bydlení na území HMP do RS</t>
  </si>
  <si>
    <t>Rezerva vytvořená ze splátek od MČ + splátka PVS, a.s. - tř. 8</t>
  </si>
  <si>
    <t>Převody mezi HMP a MČ - finanční + souhrn. vztah</t>
  </si>
  <si>
    <t>24XX</t>
  </si>
  <si>
    <t>Přijaté splátky půjčených prostředdků</t>
  </si>
  <si>
    <t xml:space="preserve">Dluhová služba - tř. 8 </t>
  </si>
  <si>
    <t>Státní transfery na zajištění regionální železniční dopravy</t>
  </si>
  <si>
    <t>F I N A N C O V Á N Í</t>
  </si>
  <si>
    <t>Ú H R N   F I N A N C O V Á N Í</t>
  </si>
  <si>
    <t>8115</t>
  </si>
  <si>
    <t>úvěrový rámec 2021</t>
  </si>
  <si>
    <t>Návrh finančních zdrojů rozpočtu vlastního hl. m. Prahy na rok 2022 (v tis. Kč)</t>
  </si>
  <si>
    <t>Rezerva pro návratné finanční výpomoci - tř. 8</t>
  </si>
  <si>
    <t>Příloha č. 1 k usnesení Zastupitelstva HMP č. 32/1 ze dne 16. 12. 2021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</si>
</sst>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_ ;\-#,##0.00\ "/>
    <numFmt numFmtId="167" formatCode="#,##0.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  <numFmt numFmtId="173" formatCode="[$-405]d\.\ mmmm\ yyyy"/>
    <numFmt numFmtId="174" formatCode="#,##0.000_ ;\-#,##0.000\ "/>
    <numFmt numFmtId="175" formatCode="#,##0.0000_ ;\-#,##0.0000\ "/>
    <numFmt numFmtId="176" formatCode="#,##0.00000_ ;\-#,##0.00000\ "/>
    <numFmt numFmtId="177" formatCode="#,##0.000000_ ;\-#,##0.000000\ "/>
    <numFmt numFmtId="178" formatCode="#,##0.0000000_ ;\-#,##0.0000000\ "/>
    <numFmt numFmtId="179" formatCode="#,##0.00000000_ ;\-#,##0.00000000\ "/>
    <numFmt numFmtId="180" formatCode="#,##0.000000000_ ;\-#,##0.000000000\ "/>
    <numFmt numFmtId="181" formatCode="#,##0.0000000000_ ;\-#,##0.0000000000\ "/>
    <numFmt numFmtId="182" formatCode="#,##0.00000000000_ ;\-#,##0.00000000000\ "/>
    <numFmt numFmtId="183" formatCode="#,##0.000000000000_ ;\-#,##0.000000000000\ "/>
    <numFmt numFmtId="184" formatCode="#,##0.0000000000000_ ;\-#,##0.0000000000000\ "/>
    <numFmt numFmtId="185" formatCode="#,##0.00000000000000_ ;\-#,##0.00000000000000\ "/>
    <numFmt numFmtId="186" formatCode="#,##0.000000000000000_ ;\-#,##0.000000000000000\ "/>
    <numFmt numFmtId="187" formatCode="#,##0.0_ ;\-#,##0.0\ "/>
    <numFmt numFmtId="188" formatCode="#,##0_ ;\-#,##0\ "/>
  </numFmts>
  <fonts count="59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i/>
      <sz val="10"/>
      <name val="Times New Roman CE"/>
      <family val="1"/>
    </font>
    <font>
      <sz val="9"/>
      <name val="Times New Roman CE"/>
      <family val="0"/>
    </font>
    <font>
      <i/>
      <sz val="10"/>
      <name val="Arial CE"/>
      <family val="0"/>
    </font>
    <font>
      <b/>
      <sz val="10"/>
      <color indexed="8"/>
      <name val="Times New Roman CE"/>
      <family val="0"/>
    </font>
    <font>
      <b/>
      <i/>
      <sz val="12"/>
      <color indexed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Times New Roman CE"/>
      <family val="1"/>
    </font>
    <font>
      <sz val="10"/>
      <color indexed="17"/>
      <name val="Arial CE"/>
      <family val="0"/>
    </font>
    <font>
      <i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rgb="FFFF0000"/>
      <name val="Times New Roman CE"/>
      <family val="0"/>
    </font>
    <font>
      <b/>
      <i/>
      <u val="single"/>
      <sz val="10"/>
      <color rgb="FFFF0000"/>
      <name val="Arial CE"/>
      <family val="0"/>
    </font>
    <font>
      <b/>
      <sz val="10"/>
      <color rgb="FFFF0000"/>
      <name val="Arial CE"/>
      <family val="0"/>
    </font>
    <font>
      <sz val="10"/>
      <color theme="1"/>
      <name val="Times New Roman CE"/>
      <family val="1"/>
    </font>
    <font>
      <sz val="10"/>
      <color rgb="FF00B05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6" fontId="1" fillId="0" borderId="16" xfId="0" applyNumberFormat="1" applyFont="1" applyBorder="1" applyAlignment="1">
      <alignment horizontal="right"/>
    </xf>
    <xf numFmtId="166" fontId="1" fillId="0" borderId="17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 vertical="center"/>
    </xf>
    <xf numFmtId="166" fontId="1" fillId="0" borderId="19" xfId="0" applyNumberFormat="1" applyFont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166" fontId="1" fillId="32" borderId="16" xfId="0" applyNumberFormat="1" applyFont="1" applyFill="1" applyBorder="1" applyAlignment="1">
      <alignment horizontal="right"/>
    </xf>
    <xf numFmtId="166" fontId="1" fillId="0" borderId="1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6" fontId="1" fillId="0" borderId="22" xfId="0" applyNumberFormat="1" applyFont="1" applyBorder="1" applyAlignment="1">
      <alignment horizontal="right"/>
    </xf>
    <xf numFmtId="166" fontId="1" fillId="0" borderId="23" xfId="0" applyNumberFormat="1" applyFont="1" applyBorder="1" applyAlignment="1">
      <alignment horizontal="right" vertical="center"/>
    </xf>
    <xf numFmtId="166" fontId="1" fillId="0" borderId="24" xfId="0" applyNumberFormat="1" applyFont="1" applyBorder="1" applyAlignment="1">
      <alignment horizontal="right" vertical="center"/>
    </xf>
    <xf numFmtId="166" fontId="1" fillId="0" borderId="25" xfId="0" applyNumberFormat="1" applyFont="1" applyBorder="1" applyAlignment="1">
      <alignment horizontal="right"/>
    </xf>
    <xf numFmtId="166" fontId="2" fillId="0" borderId="2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7" fillId="0" borderId="16" xfId="0" applyNumberFormat="1" applyFont="1" applyBorder="1" applyAlignment="1">
      <alignment horizontal="right"/>
    </xf>
    <xf numFmtId="166" fontId="2" fillId="0" borderId="23" xfId="0" applyNumberFormat="1" applyFont="1" applyBorder="1" applyAlignment="1">
      <alignment horizontal="right" vertical="center"/>
    </xf>
    <xf numFmtId="166" fontId="2" fillId="0" borderId="1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6" fontId="1" fillId="0" borderId="35" xfId="0" applyNumberFormat="1" applyFont="1" applyBorder="1" applyAlignment="1">
      <alignment horizontal="right"/>
    </xf>
    <xf numFmtId="166" fontId="1" fillId="32" borderId="35" xfId="0" applyNumberFormat="1" applyFont="1" applyFill="1" applyBorder="1" applyAlignment="1">
      <alignment horizontal="right"/>
    </xf>
    <xf numFmtId="166" fontId="2" fillId="0" borderId="35" xfId="0" applyNumberFormat="1" applyFont="1" applyBorder="1" applyAlignment="1">
      <alignment horizontal="right"/>
    </xf>
    <xf numFmtId="166" fontId="2" fillId="0" borderId="36" xfId="0" applyNumberFormat="1" applyFont="1" applyBorder="1" applyAlignment="1">
      <alignment horizontal="right" vertical="center"/>
    </xf>
    <xf numFmtId="166" fontId="1" fillId="0" borderId="35" xfId="0" applyNumberFormat="1" applyFont="1" applyFill="1" applyBorder="1" applyAlignment="1">
      <alignment horizontal="right"/>
    </xf>
    <xf numFmtId="166" fontId="1" fillId="0" borderId="37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right"/>
    </xf>
    <xf numFmtId="166" fontId="1" fillId="0" borderId="36" xfId="0" applyNumberFormat="1" applyFont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/>
    </xf>
    <xf numFmtId="166" fontId="1" fillId="32" borderId="22" xfId="0" applyNumberFormat="1" applyFont="1" applyFill="1" applyBorder="1" applyAlignment="1">
      <alignment horizontal="right"/>
    </xf>
    <xf numFmtId="166" fontId="1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6" fontId="7" fillId="0" borderId="22" xfId="0" applyNumberFormat="1" applyFont="1" applyBorder="1" applyAlignment="1">
      <alignment horizontal="right"/>
    </xf>
    <xf numFmtId="166" fontId="1" fillId="0" borderId="39" xfId="0" applyNumberFormat="1" applyFont="1" applyFill="1" applyBorder="1" applyAlignment="1">
      <alignment horizontal="left" vertical="center"/>
    </xf>
    <xf numFmtId="49" fontId="1" fillId="0" borderId="34" xfId="0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166" fontId="7" fillId="0" borderId="35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2" fillId="33" borderId="1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6" fontId="2" fillId="33" borderId="23" xfId="0" applyNumberFormat="1" applyFont="1" applyFill="1" applyBorder="1" applyAlignment="1">
      <alignment horizontal="right" vertical="center"/>
    </xf>
    <xf numFmtId="166" fontId="2" fillId="33" borderId="36" xfId="0" applyNumberFormat="1" applyFont="1" applyFill="1" applyBorder="1" applyAlignment="1">
      <alignment horizontal="right" vertical="center"/>
    </xf>
    <xf numFmtId="166" fontId="2" fillId="33" borderId="18" xfId="0" applyNumberFormat="1" applyFont="1" applyFill="1" applyBorder="1" applyAlignment="1">
      <alignment horizontal="right" vertical="center"/>
    </xf>
    <xf numFmtId="166" fontId="2" fillId="33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6" fontId="2" fillId="0" borderId="18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166" fontId="2" fillId="33" borderId="10" xfId="0" applyNumberFormat="1" applyFont="1" applyFill="1" applyBorder="1" applyAlignment="1">
      <alignment horizontal="right" vertical="center"/>
    </xf>
    <xf numFmtId="166" fontId="1" fillId="0" borderId="19" xfId="0" applyNumberFormat="1" applyFont="1" applyFill="1" applyBorder="1" applyAlignment="1">
      <alignment horizontal="right" vertical="center"/>
    </xf>
    <xf numFmtId="166" fontId="1" fillId="0" borderId="30" xfId="0" applyNumberFormat="1" applyFont="1" applyFill="1" applyBorder="1" applyAlignment="1">
      <alignment horizontal="right" vertical="center"/>
    </xf>
    <xf numFmtId="166" fontId="1" fillId="0" borderId="17" xfId="0" applyNumberFormat="1" applyFont="1" applyFill="1" applyBorder="1" applyAlignment="1">
      <alignment horizontal="right" vertical="center"/>
    </xf>
    <xf numFmtId="166" fontId="1" fillId="0" borderId="11" xfId="0" applyNumberFormat="1" applyFont="1" applyFill="1" applyBorder="1" applyAlignment="1">
      <alignment horizontal="right" vertical="center"/>
    </xf>
    <xf numFmtId="166" fontId="1" fillId="0" borderId="16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166" fontId="1" fillId="0" borderId="41" xfId="0" applyNumberFormat="1" applyFont="1" applyFill="1" applyBorder="1" applyAlignment="1">
      <alignment horizontal="left" vertical="center"/>
    </xf>
    <xf numFmtId="166" fontId="1" fillId="0" borderId="45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 wrapText="1"/>
    </xf>
    <xf numFmtId="166" fontId="7" fillId="0" borderId="1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66" fontId="1" fillId="0" borderId="43" xfId="0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/>
    </xf>
    <xf numFmtId="166" fontId="2" fillId="0" borderId="16" xfId="0" applyNumberFormat="1" applyFont="1" applyBorder="1" applyAlignment="1">
      <alignment horizontal="right"/>
    </xf>
    <xf numFmtId="166" fontId="2" fillId="0" borderId="22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13" fillId="0" borderId="16" xfId="0" applyNumberFormat="1" applyFont="1" applyBorder="1" applyAlignment="1">
      <alignment horizontal="right"/>
    </xf>
    <xf numFmtId="166" fontId="13" fillId="0" borderId="16" xfId="0" applyNumberFormat="1" applyFont="1" applyFill="1" applyBorder="1" applyAlignment="1">
      <alignment horizontal="right"/>
    </xf>
    <xf numFmtId="166" fontId="13" fillId="0" borderId="46" xfId="0" applyNumberFormat="1" applyFont="1" applyBorder="1" applyAlignment="1">
      <alignment horizontal="right"/>
    </xf>
    <xf numFmtId="166" fontId="1" fillId="0" borderId="17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left" shrinkToFit="1"/>
    </xf>
    <xf numFmtId="0" fontId="0" fillId="0" borderId="29" xfId="0" applyBorder="1" applyAlignment="1">
      <alignment shrinkToFit="1"/>
    </xf>
    <xf numFmtId="0" fontId="2" fillId="0" borderId="17" xfId="0" applyFont="1" applyBorder="1" applyAlignment="1">
      <alignment horizontal="center" vertical="center"/>
    </xf>
    <xf numFmtId="166" fontId="1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/>
    </xf>
    <xf numFmtId="166" fontId="2" fillId="0" borderId="20" xfId="0" applyNumberFormat="1" applyFont="1" applyBorder="1" applyAlignment="1">
      <alignment horizontal="right"/>
    </xf>
    <xf numFmtId="166" fontId="13" fillId="0" borderId="20" xfId="0" applyNumberFormat="1" applyFont="1" applyFill="1" applyBorder="1" applyAlignment="1">
      <alignment horizontal="right"/>
    </xf>
    <xf numFmtId="0" fontId="6" fillId="0" borderId="38" xfId="0" applyFont="1" applyBorder="1" applyAlignment="1">
      <alignment horizontal="right"/>
    </xf>
    <xf numFmtId="166" fontId="2" fillId="0" borderId="38" xfId="0" applyNumberFormat="1" applyFont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166" fontId="13" fillId="0" borderId="38" xfId="0" applyNumberFormat="1" applyFont="1" applyFill="1" applyBorder="1" applyAlignment="1">
      <alignment horizontal="right"/>
    </xf>
    <xf numFmtId="0" fontId="2" fillId="0" borderId="39" xfId="0" applyFont="1" applyBorder="1" applyAlignment="1">
      <alignment horizontal="left"/>
    </xf>
    <xf numFmtId="166" fontId="2" fillId="0" borderId="18" xfId="0" applyNumberFormat="1" applyFont="1" applyBorder="1" applyAlignment="1">
      <alignment horizontal="right" vertical="center"/>
    </xf>
    <xf numFmtId="14" fontId="54" fillId="0" borderId="0" xfId="0" applyNumberFormat="1" applyFont="1" applyAlignment="1">
      <alignment horizontal="center"/>
    </xf>
    <xf numFmtId="14" fontId="55" fillId="0" borderId="0" xfId="0" applyNumberFormat="1" applyFont="1" applyAlignment="1">
      <alignment/>
    </xf>
    <xf numFmtId="166" fontId="7" fillId="0" borderId="16" xfId="0" applyNumberFormat="1" applyFont="1" applyFill="1" applyBorder="1" applyAlignment="1">
      <alignment horizontal="right"/>
    </xf>
    <xf numFmtId="166" fontId="1" fillId="34" borderId="16" xfId="0" applyNumberFormat="1" applyFont="1" applyFill="1" applyBorder="1" applyAlignment="1">
      <alignment horizontal="right"/>
    </xf>
    <xf numFmtId="166" fontId="2" fillId="0" borderId="38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166" fontId="1" fillId="0" borderId="0" xfId="0" applyNumberFormat="1" applyFont="1" applyFill="1" applyAlignment="1">
      <alignment horizontal="right"/>
    </xf>
    <xf numFmtId="166" fontId="13" fillId="0" borderId="46" xfId="0" applyNumberFormat="1" applyFont="1" applyFill="1" applyBorder="1" applyAlignment="1">
      <alignment horizontal="right"/>
    </xf>
    <xf numFmtId="166" fontId="2" fillId="35" borderId="23" xfId="0" applyNumberFormat="1" applyFont="1" applyFill="1" applyBorder="1" applyAlignment="1">
      <alignment horizontal="right" vertical="center"/>
    </xf>
    <xf numFmtId="166" fontId="13" fillId="0" borderId="24" xfId="0" applyNumberFormat="1" applyFont="1" applyFill="1" applyBorder="1" applyAlignment="1">
      <alignment horizontal="right"/>
    </xf>
    <xf numFmtId="14" fontId="56" fillId="0" borderId="0" xfId="0" applyNumberFormat="1" applyFont="1" applyAlignment="1">
      <alignment/>
    </xf>
    <xf numFmtId="166" fontId="2" fillId="0" borderId="22" xfId="0" applyNumberFormat="1" applyFont="1" applyFill="1" applyBorder="1" applyAlignment="1">
      <alignment horizontal="right"/>
    </xf>
    <xf numFmtId="166" fontId="0" fillId="0" borderId="0" xfId="0" applyNumberFormat="1" applyFill="1" applyAlignment="1">
      <alignment/>
    </xf>
    <xf numFmtId="166" fontId="57" fillId="0" borderId="16" xfId="0" applyNumberFormat="1" applyFont="1" applyBorder="1" applyAlignment="1">
      <alignment horizontal="right"/>
    </xf>
    <xf numFmtId="166" fontId="2" fillId="0" borderId="24" xfId="0" applyNumberFormat="1" applyFont="1" applyFill="1" applyBorder="1" applyAlignment="1">
      <alignment horizontal="right"/>
    </xf>
    <xf numFmtId="166" fontId="2" fillId="0" borderId="46" xfId="0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166" fontId="12" fillId="0" borderId="0" xfId="0" applyNumberFormat="1" applyFont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49" fontId="36" fillId="0" borderId="0" xfId="0" applyNumberFormat="1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tabSelected="1" zoomScale="90" zoomScaleNormal="90" zoomScalePageLayoutView="0"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7.875" style="1" customWidth="1"/>
    <col min="2" max="2" width="49.75390625" style="1" customWidth="1"/>
    <col min="3" max="3" width="16.00390625" style="2" hidden="1" customWidth="1"/>
    <col min="4" max="4" width="12.75390625" style="2" hidden="1" customWidth="1"/>
    <col min="5" max="5" width="16.00390625" style="2" hidden="1" customWidth="1"/>
    <col min="6" max="6" width="13.375" style="2" hidden="1" customWidth="1"/>
    <col min="7" max="8" width="14.125" style="2" hidden="1" customWidth="1"/>
    <col min="9" max="11" width="13.00390625" style="2" hidden="1" customWidth="1"/>
    <col min="12" max="12" width="0.12890625" style="2" hidden="1" customWidth="1"/>
    <col min="13" max="15" width="13.375" style="2" hidden="1" customWidth="1"/>
    <col min="16" max="21" width="13.375" style="0" hidden="1" customWidth="1"/>
    <col min="22" max="23" width="13.375" style="0" customWidth="1"/>
    <col min="24" max="31" width="13.125" style="0" customWidth="1"/>
    <col min="32" max="33" width="14.625" style="0" customWidth="1"/>
    <col min="34" max="34" width="14.875" style="0" customWidth="1"/>
  </cols>
  <sheetData>
    <row r="1" spans="1:33" s="119" customFormat="1" ht="15.75">
      <c r="A1" s="169" t="s">
        <v>87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135"/>
      <c r="O1" s="144"/>
      <c r="AF1" s="145"/>
      <c r="AG1" s="145"/>
    </row>
    <row r="2" spans="1:33" ht="19.5" thickBot="1">
      <c r="A2" s="121" t="s">
        <v>85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2"/>
      <c r="P2" s="132"/>
      <c r="AF2" s="154"/>
      <c r="AG2" s="154"/>
    </row>
    <row r="3" spans="1:33" ht="16.5" thickBot="1">
      <c r="A3" s="166" t="s">
        <v>68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8"/>
    </row>
    <row r="4" spans="1:33" ht="13.5" customHeight="1">
      <c r="A4" s="162" t="s">
        <v>0</v>
      </c>
      <c r="B4" s="164" t="s">
        <v>1</v>
      </c>
      <c r="C4" s="18" t="s">
        <v>34</v>
      </c>
      <c r="D4" s="43" t="s">
        <v>35</v>
      </c>
      <c r="E4" s="18" t="s">
        <v>34</v>
      </c>
      <c r="F4" s="3" t="s">
        <v>38</v>
      </c>
      <c r="G4" s="18" t="s">
        <v>39</v>
      </c>
      <c r="H4" s="43" t="s">
        <v>38</v>
      </c>
      <c r="I4" s="18" t="s">
        <v>39</v>
      </c>
      <c r="J4" s="3" t="s">
        <v>38</v>
      </c>
      <c r="K4" s="3" t="s">
        <v>38</v>
      </c>
      <c r="L4" s="65" t="s">
        <v>39</v>
      </c>
      <c r="M4" s="65" t="s">
        <v>38</v>
      </c>
      <c r="N4" s="65" t="s">
        <v>39</v>
      </c>
      <c r="O4" s="65" t="s">
        <v>38</v>
      </c>
      <c r="P4" s="65" t="s">
        <v>39</v>
      </c>
      <c r="Q4" s="65" t="s">
        <v>38</v>
      </c>
      <c r="R4" s="65" t="s">
        <v>39</v>
      </c>
      <c r="S4" s="65" t="s">
        <v>38</v>
      </c>
      <c r="T4" s="65" t="s">
        <v>39</v>
      </c>
      <c r="U4" s="65" t="s">
        <v>38</v>
      </c>
      <c r="V4" s="133" t="s">
        <v>39</v>
      </c>
      <c r="W4" s="133" t="s">
        <v>38</v>
      </c>
      <c r="X4" s="133" t="s">
        <v>39</v>
      </c>
      <c r="Y4" s="133" t="s">
        <v>38</v>
      </c>
      <c r="Z4" s="133" t="s">
        <v>39</v>
      </c>
      <c r="AA4" s="133" t="s">
        <v>38</v>
      </c>
      <c r="AB4" s="133" t="s">
        <v>39</v>
      </c>
      <c r="AC4" s="133" t="s">
        <v>38</v>
      </c>
      <c r="AD4" s="133" t="s">
        <v>39</v>
      </c>
      <c r="AE4" s="133" t="s">
        <v>38</v>
      </c>
      <c r="AF4" s="133" t="s">
        <v>39</v>
      </c>
      <c r="AG4" s="133" t="s">
        <v>54</v>
      </c>
    </row>
    <row r="5" spans="1:33" ht="13.5" thickBot="1">
      <c r="A5" s="163"/>
      <c r="B5" s="165"/>
      <c r="C5" s="19">
        <v>2005</v>
      </c>
      <c r="D5" s="44">
        <v>2005</v>
      </c>
      <c r="E5" s="19">
        <v>2006</v>
      </c>
      <c r="F5" s="4">
        <v>2006</v>
      </c>
      <c r="G5" s="19">
        <v>2007</v>
      </c>
      <c r="H5" s="44">
        <v>2007</v>
      </c>
      <c r="I5" s="19">
        <v>2008</v>
      </c>
      <c r="J5" s="4">
        <v>2008</v>
      </c>
      <c r="K5" s="4">
        <v>2009</v>
      </c>
      <c r="L5" s="4">
        <v>2011</v>
      </c>
      <c r="M5" s="4">
        <v>2011</v>
      </c>
      <c r="N5" s="4">
        <v>2012</v>
      </c>
      <c r="O5" s="4">
        <v>2012</v>
      </c>
      <c r="P5" s="4">
        <v>2013</v>
      </c>
      <c r="Q5" s="4">
        <v>2013</v>
      </c>
      <c r="R5" s="4">
        <v>2014</v>
      </c>
      <c r="S5" s="4">
        <v>2014</v>
      </c>
      <c r="T5" s="4">
        <v>2015</v>
      </c>
      <c r="U5" s="4">
        <v>2015</v>
      </c>
      <c r="V5" s="4">
        <v>2016</v>
      </c>
      <c r="W5" s="4">
        <v>2016</v>
      </c>
      <c r="X5" s="4">
        <v>2017</v>
      </c>
      <c r="Y5" s="4">
        <v>2017</v>
      </c>
      <c r="Z5" s="4">
        <v>2018</v>
      </c>
      <c r="AA5" s="4">
        <v>2018</v>
      </c>
      <c r="AB5" s="4">
        <v>2019</v>
      </c>
      <c r="AC5" s="4">
        <v>2019</v>
      </c>
      <c r="AD5" s="4">
        <v>2020</v>
      </c>
      <c r="AE5" s="4">
        <v>2020</v>
      </c>
      <c r="AF5" s="4">
        <v>2021</v>
      </c>
      <c r="AG5" s="4">
        <v>2022</v>
      </c>
    </row>
    <row r="6" spans="1:33" ht="13.5" thickBot="1">
      <c r="A6" s="78"/>
      <c r="B6" s="93" t="s">
        <v>62</v>
      </c>
      <c r="C6" s="79"/>
      <c r="D6" s="80"/>
      <c r="E6" s="79"/>
      <c r="F6" s="81"/>
      <c r="G6" s="79"/>
      <c r="H6" s="80"/>
      <c r="I6" s="82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</row>
    <row r="7" spans="1:33" ht="12.75">
      <c r="A7" s="5" t="s">
        <v>2</v>
      </c>
      <c r="B7" s="94" t="s">
        <v>3</v>
      </c>
      <c r="C7" s="20">
        <v>367470</v>
      </c>
      <c r="D7" s="45">
        <v>370356.95</v>
      </c>
      <c r="E7" s="20">
        <v>336000</v>
      </c>
      <c r="F7" s="10">
        <v>369126.89</v>
      </c>
      <c r="G7" s="20">
        <v>369000</v>
      </c>
      <c r="H7" s="45">
        <v>407620.03</v>
      </c>
      <c r="I7" s="20">
        <f>20000+340000+30000</f>
        <v>390000</v>
      </c>
      <c r="J7" s="10">
        <v>384409.03</v>
      </c>
      <c r="K7" s="10">
        <v>359012.88</v>
      </c>
      <c r="L7" s="10">
        <f>310000+9000+29000</f>
        <v>348000</v>
      </c>
      <c r="M7" s="10">
        <v>371030.14</v>
      </c>
      <c r="N7" s="10">
        <f>320000+9000+29000</f>
        <v>358000</v>
      </c>
      <c r="O7" s="10">
        <v>384263.99</v>
      </c>
      <c r="P7" s="10">
        <v>360000</v>
      </c>
      <c r="Q7" s="10">
        <v>394896.05</v>
      </c>
      <c r="R7" s="10">
        <v>370000</v>
      </c>
      <c r="S7" s="10">
        <v>402992.26</v>
      </c>
      <c r="T7" s="10">
        <v>370000</v>
      </c>
      <c r="U7" s="10">
        <v>421265.21</v>
      </c>
      <c r="V7" s="10">
        <v>400000</v>
      </c>
      <c r="W7" s="10">
        <v>480587.91</v>
      </c>
      <c r="X7" s="10">
        <v>446000</v>
      </c>
      <c r="Y7" s="10">
        <v>537506.25</v>
      </c>
      <c r="Z7" s="10">
        <v>490000</v>
      </c>
      <c r="AA7" s="10">
        <v>610451.78</v>
      </c>
      <c r="AB7" s="10">
        <v>590000</v>
      </c>
      <c r="AC7" s="10">
        <v>690021.19</v>
      </c>
      <c r="AD7" s="10">
        <v>610000</v>
      </c>
      <c r="AE7" s="10">
        <v>650766.7</v>
      </c>
      <c r="AF7" s="10">
        <v>585000</v>
      </c>
      <c r="AG7" s="10">
        <v>370000</v>
      </c>
    </row>
    <row r="8" spans="1:33" ht="12.75">
      <c r="A8" s="5" t="s">
        <v>2</v>
      </c>
      <c r="B8" s="94" t="s">
        <v>4</v>
      </c>
      <c r="C8" s="20">
        <v>9800000</v>
      </c>
      <c r="D8" s="46">
        <v>10886509.59</v>
      </c>
      <c r="E8" s="56">
        <v>10300000</v>
      </c>
      <c r="F8" s="16">
        <v>10242819.22</v>
      </c>
      <c r="G8" s="56">
        <v>10050000</v>
      </c>
      <c r="H8" s="46">
        <v>11240873.74</v>
      </c>
      <c r="I8" s="56">
        <f>290000+7700000+500000+1300000+660000</f>
        <v>10450000</v>
      </c>
      <c r="J8" s="16">
        <v>10848510.08</v>
      </c>
      <c r="K8" s="16">
        <v>8994887.51</v>
      </c>
      <c r="L8" s="16">
        <v>9750000</v>
      </c>
      <c r="M8" s="16">
        <v>9719710.44</v>
      </c>
      <c r="N8" s="16">
        <f>7700000+300000+220000+550000+700000</f>
        <v>9470000</v>
      </c>
      <c r="O8" s="16">
        <v>10021238.14</v>
      </c>
      <c r="P8" s="16">
        <v>10080000</v>
      </c>
      <c r="Q8" s="16">
        <v>9741994.42</v>
      </c>
      <c r="R8" s="16">
        <v>9530000</v>
      </c>
      <c r="S8" s="16">
        <v>10545804.61</v>
      </c>
      <c r="T8" s="16">
        <v>10060000</v>
      </c>
      <c r="U8" s="16">
        <v>10913357.95</v>
      </c>
      <c r="V8" s="10">
        <v>10300000</v>
      </c>
      <c r="W8" s="10">
        <v>12800972.38</v>
      </c>
      <c r="X8" s="10">
        <v>11670000</v>
      </c>
      <c r="Y8" s="10">
        <v>13299708.66</v>
      </c>
      <c r="Z8" s="10">
        <v>12720000</v>
      </c>
      <c r="AA8" s="10">
        <v>14978510.08</v>
      </c>
      <c r="AB8" s="10">
        <v>15850000</v>
      </c>
      <c r="AC8" s="10">
        <v>17028781.45</v>
      </c>
      <c r="AD8" s="10">
        <v>15950000</v>
      </c>
      <c r="AE8" s="10">
        <v>16150941.87</v>
      </c>
      <c r="AF8" s="10">
        <v>14850000</v>
      </c>
      <c r="AG8" s="10">
        <v>10900000</v>
      </c>
    </row>
    <row r="9" spans="1:33" ht="13.5">
      <c r="A9" s="5"/>
      <c r="B9" s="95" t="s">
        <v>5</v>
      </c>
      <c r="C9" s="34">
        <f aca="true" t="shared" si="0" ref="C9:P9">SUM(C7:C8)</f>
        <v>10167470</v>
      </c>
      <c r="D9" s="47">
        <f t="shared" si="0"/>
        <v>11256866.54</v>
      </c>
      <c r="E9" s="34">
        <f t="shared" si="0"/>
        <v>10636000</v>
      </c>
      <c r="F9" s="35">
        <f t="shared" si="0"/>
        <v>10611946.110000001</v>
      </c>
      <c r="G9" s="66">
        <f t="shared" si="0"/>
        <v>10419000</v>
      </c>
      <c r="H9" s="70">
        <f t="shared" si="0"/>
        <v>11648493.77</v>
      </c>
      <c r="I9" s="66">
        <f t="shared" si="0"/>
        <v>10840000</v>
      </c>
      <c r="J9" s="35">
        <f t="shared" si="0"/>
        <v>11232919.11</v>
      </c>
      <c r="K9" s="35">
        <f t="shared" si="0"/>
        <v>9353900.39</v>
      </c>
      <c r="L9" s="35">
        <f t="shared" si="0"/>
        <v>10098000</v>
      </c>
      <c r="M9" s="35">
        <f t="shared" si="0"/>
        <v>10090740.58</v>
      </c>
      <c r="N9" s="35">
        <f t="shared" si="0"/>
        <v>9828000</v>
      </c>
      <c r="O9" s="35">
        <f>SUM(O7:O8)</f>
        <v>10405502.13</v>
      </c>
      <c r="P9" s="118">
        <f t="shared" si="0"/>
        <v>10440000</v>
      </c>
      <c r="Q9" s="118">
        <f>SUM(Q7:Q8)</f>
        <v>10136890.47</v>
      </c>
      <c r="R9" s="118">
        <f>SUM(R7:R8)</f>
        <v>9900000</v>
      </c>
      <c r="S9" s="118">
        <f>SUM(S7:S8)</f>
        <v>10948796.87</v>
      </c>
      <c r="T9" s="118">
        <f>SUM(T7:T8)</f>
        <v>10430000</v>
      </c>
      <c r="U9" s="118">
        <f>SUM(U7:U8)</f>
        <v>11334623.16</v>
      </c>
      <c r="V9" s="118">
        <v>10700000</v>
      </c>
      <c r="W9" s="118">
        <v>13281560.290000001</v>
      </c>
      <c r="X9" s="118">
        <v>12116000</v>
      </c>
      <c r="Y9" s="146">
        <v>13837214.91</v>
      </c>
      <c r="Z9" s="118">
        <v>13210000</v>
      </c>
      <c r="AA9" s="118">
        <v>15588961.86</v>
      </c>
      <c r="AB9" s="118">
        <v>16440000</v>
      </c>
      <c r="AC9" s="118">
        <v>17718802.64</v>
      </c>
      <c r="AD9" s="118">
        <v>16560000</v>
      </c>
      <c r="AE9" s="118">
        <v>16801708.57</v>
      </c>
      <c r="AF9" s="118">
        <v>15435000</v>
      </c>
      <c r="AG9" s="118">
        <v>11270000</v>
      </c>
    </row>
    <row r="10" spans="1:33" ht="12.75">
      <c r="A10" s="5" t="s">
        <v>6</v>
      </c>
      <c r="B10" s="94" t="s">
        <v>7</v>
      </c>
      <c r="C10" s="20">
        <v>340000</v>
      </c>
      <c r="D10" s="46">
        <v>371681.75</v>
      </c>
      <c r="E10" s="56">
        <v>300000</v>
      </c>
      <c r="F10" s="16">
        <v>386763.42</v>
      </c>
      <c r="G10" s="56">
        <v>420000</v>
      </c>
      <c r="H10" s="46">
        <v>436479.41</v>
      </c>
      <c r="I10" s="56">
        <v>420000</v>
      </c>
      <c r="J10" s="16">
        <v>508230.91</v>
      </c>
      <c r="K10" s="16">
        <v>356754.28</v>
      </c>
      <c r="L10" s="16">
        <f>300000+30000</f>
        <v>330000</v>
      </c>
      <c r="M10" s="16">
        <v>329065.16</v>
      </c>
      <c r="N10" s="16">
        <v>330000</v>
      </c>
      <c r="O10" s="16">
        <v>364249.05</v>
      </c>
      <c r="P10" s="17">
        <v>320000</v>
      </c>
      <c r="Q10" s="17">
        <v>384892.69</v>
      </c>
      <c r="R10" s="17">
        <v>300000</v>
      </c>
      <c r="S10" s="17">
        <v>399193.51</v>
      </c>
      <c r="T10" s="17">
        <v>360000</v>
      </c>
      <c r="U10" s="17">
        <v>415668.58</v>
      </c>
      <c r="V10" s="10">
        <v>390000</v>
      </c>
      <c r="W10" s="10">
        <v>471907.17</v>
      </c>
      <c r="X10" s="10">
        <v>450000</v>
      </c>
      <c r="Y10" s="10">
        <v>484159.98</v>
      </c>
      <c r="Z10" s="10">
        <v>470000</v>
      </c>
      <c r="AA10" s="10">
        <v>472374.51</v>
      </c>
      <c r="AB10" s="10">
        <v>470000</v>
      </c>
      <c r="AC10" s="10">
        <v>541912.87</v>
      </c>
      <c r="AD10" s="10">
        <v>470000</v>
      </c>
      <c r="AE10" s="10">
        <v>441313.26</v>
      </c>
      <c r="AF10" s="10">
        <v>300000</v>
      </c>
      <c r="AG10" s="10">
        <v>400000</v>
      </c>
    </row>
    <row r="11" spans="1:34" ht="12.75">
      <c r="A11" s="5" t="s">
        <v>6</v>
      </c>
      <c r="B11" s="94" t="s">
        <v>43</v>
      </c>
      <c r="C11" s="20">
        <v>7500000</v>
      </c>
      <c r="D11" s="46">
        <v>9831568.23</v>
      </c>
      <c r="E11" s="56">
        <v>7800000</v>
      </c>
      <c r="F11" s="16">
        <v>9976225.84</v>
      </c>
      <c r="G11" s="56">
        <v>10000000</v>
      </c>
      <c r="H11" s="46">
        <v>11753178.63</v>
      </c>
      <c r="I11" s="56">
        <f>10050000+500000</f>
        <v>10550000</v>
      </c>
      <c r="J11" s="16">
        <v>13426982.97</v>
      </c>
      <c r="K11" s="16">
        <v>9639524.96</v>
      </c>
      <c r="L11" s="16">
        <v>8310000</v>
      </c>
      <c r="M11" s="16">
        <v>8967328.16</v>
      </c>
      <c r="N11" s="16">
        <f>8000000+150000</f>
        <v>8150000</v>
      </c>
      <c r="O11" s="16">
        <v>9790317.47</v>
      </c>
      <c r="P11" s="17">
        <v>8250000</v>
      </c>
      <c r="Q11" s="17">
        <v>10102121.81</v>
      </c>
      <c r="R11" s="17">
        <v>8200000</v>
      </c>
      <c r="S11" s="17">
        <v>10630474.59</v>
      </c>
      <c r="T11" s="17">
        <v>8700000</v>
      </c>
      <c r="U11" s="17">
        <v>11461969.22</v>
      </c>
      <c r="V11" s="10">
        <v>9700000</v>
      </c>
      <c r="W11" s="10">
        <v>12390460</v>
      </c>
      <c r="X11" s="10">
        <v>10300000</v>
      </c>
      <c r="Y11" s="10">
        <v>12656398.53</v>
      </c>
      <c r="Z11" s="10">
        <v>11300000</v>
      </c>
      <c r="AA11" s="10">
        <v>12835029.68</v>
      </c>
      <c r="AB11" s="10">
        <v>12000000</v>
      </c>
      <c r="AC11" s="10">
        <v>14338798.62</v>
      </c>
      <c r="AD11" s="10">
        <v>12000000</v>
      </c>
      <c r="AE11" s="10">
        <v>11740827.78</v>
      </c>
      <c r="AF11" s="10">
        <v>8100000</v>
      </c>
      <c r="AG11" s="10">
        <v>12400000</v>
      </c>
      <c r="AH11" s="160"/>
    </row>
    <row r="12" spans="1:33" ht="13.5">
      <c r="A12" s="5"/>
      <c r="B12" s="95" t="s">
        <v>8</v>
      </c>
      <c r="C12" s="34">
        <f aca="true" t="shared" si="1" ref="C12:N12">SUM(C10:C11)</f>
        <v>7840000</v>
      </c>
      <c r="D12" s="47">
        <f t="shared" si="1"/>
        <v>10203249.98</v>
      </c>
      <c r="E12" s="34">
        <f t="shared" si="1"/>
        <v>8100000</v>
      </c>
      <c r="F12" s="35">
        <f t="shared" si="1"/>
        <v>10362989.26</v>
      </c>
      <c r="G12" s="66">
        <f t="shared" si="1"/>
        <v>10420000</v>
      </c>
      <c r="H12" s="70">
        <f t="shared" si="1"/>
        <v>12189658.040000001</v>
      </c>
      <c r="I12" s="66">
        <f t="shared" si="1"/>
        <v>10970000</v>
      </c>
      <c r="J12" s="35">
        <f t="shared" si="1"/>
        <v>13935213.88</v>
      </c>
      <c r="K12" s="35">
        <f t="shared" si="1"/>
        <v>9996279.24</v>
      </c>
      <c r="L12" s="35">
        <f t="shared" si="1"/>
        <v>8640000</v>
      </c>
      <c r="M12" s="35">
        <f t="shared" si="1"/>
        <v>9296393.32</v>
      </c>
      <c r="N12" s="35">
        <f t="shared" si="1"/>
        <v>8480000</v>
      </c>
      <c r="O12" s="35">
        <f aca="true" t="shared" si="2" ref="O12:T12">SUM(O10:O11)</f>
        <v>10154566.520000001</v>
      </c>
      <c r="P12" s="118">
        <f t="shared" si="2"/>
        <v>8570000</v>
      </c>
      <c r="Q12" s="118">
        <f t="shared" si="2"/>
        <v>10487014.5</v>
      </c>
      <c r="R12" s="118">
        <f t="shared" si="2"/>
        <v>8500000</v>
      </c>
      <c r="S12" s="118">
        <f>SUM(S10:S11)</f>
        <v>11029668.1</v>
      </c>
      <c r="T12" s="118">
        <f t="shared" si="2"/>
        <v>9060000</v>
      </c>
      <c r="U12" s="118">
        <f>SUM(U10:U11)</f>
        <v>11877637.8</v>
      </c>
      <c r="V12" s="118">
        <v>10090000</v>
      </c>
      <c r="W12" s="118">
        <v>12862367.17</v>
      </c>
      <c r="X12" s="118">
        <v>10750000</v>
      </c>
      <c r="Y12" s="118">
        <v>13140558.51</v>
      </c>
      <c r="Z12" s="118">
        <v>11770000</v>
      </c>
      <c r="AA12" s="118">
        <v>13307404.19</v>
      </c>
      <c r="AB12" s="118">
        <v>12470000</v>
      </c>
      <c r="AC12" s="118">
        <v>14880711.489999998</v>
      </c>
      <c r="AD12" s="118">
        <v>12470000</v>
      </c>
      <c r="AE12" s="118">
        <v>12182141.04</v>
      </c>
      <c r="AF12" s="118">
        <v>8400000</v>
      </c>
      <c r="AG12" s="118">
        <v>12800000</v>
      </c>
    </row>
    <row r="13" spans="1:33" ht="12.75">
      <c r="A13" s="5">
        <v>1211</v>
      </c>
      <c r="B13" s="94" t="s">
        <v>9</v>
      </c>
      <c r="C13" s="20">
        <v>500000</v>
      </c>
      <c r="D13" s="46">
        <v>564563.15</v>
      </c>
      <c r="E13" s="56">
        <v>534000</v>
      </c>
      <c r="F13" s="16">
        <v>624346.91</v>
      </c>
      <c r="G13" s="56">
        <f>620000+30000</f>
        <v>650000</v>
      </c>
      <c r="H13" s="46">
        <v>661159.83</v>
      </c>
      <c r="I13" s="56">
        <v>650000</v>
      </c>
      <c r="J13" s="16">
        <v>726483.32</v>
      </c>
      <c r="K13" s="16">
        <v>718566.05</v>
      </c>
      <c r="L13" s="16">
        <v>770000</v>
      </c>
      <c r="M13" s="16">
        <v>781419.19</v>
      </c>
      <c r="N13" s="16">
        <v>800000</v>
      </c>
      <c r="O13" s="16">
        <v>737342.99</v>
      </c>
      <c r="P13" s="17">
        <v>650000</v>
      </c>
      <c r="Q13" s="17">
        <v>772991.93</v>
      </c>
      <c r="R13" s="17">
        <v>740000</v>
      </c>
      <c r="S13" s="17">
        <v>809921.18</v>
      </c>
      <c r="T13" s="17">
        <v>770000</v>
      </c>
      <c r="U13" s="17">
        <v>826989.3</v>
      </c>
      <c r="V13" s="10">
        <v>800000</v>
      </c>
      <c r="W13" s="10">
        <v>969778.57</v>
      </c>
      <c r="X13" s="10">
        <v>914000</v>
      </c>
      <c r="Y13" s="10">
        <v>1083814.88</v>
      </c>
      <c r="Z13" s="10">
        <v>950000</v>
      </c>
      <c r="AA13" s="10">
        <v>1170916.58</v>
      </c>
      <c r="AB13" s="10">
        <v>1000000</v>
      </c>
      <c r="AC13" s="10">
        <v>1219824.27</v>
      </c>
      <c r="AD13" s="10">
        <v>1000000</v>
      </c>
      <c r="AE13" s="10">
        <v>1210038.02</v>
      </c>
      <c r="AF13" s="10">
        <v>1200000</v>
      </c>
      <c r="AG13" s="10">
        <v>1320000</v>
      </c>
    </row>
    <row r="14" spans="1:34" ht="12.75">
      <c r="A14" s="5">
        <v>1211</v>
      </c>
      <c r="B14" s="94" t="s">
        <v>10</v>
      </c>
      <c r="C14" s="20">
        <v>11307567</v>
      </c>
      <c r="D14" s="46">
        <v>13595962.48</v>
      </c>
      <c r="E14" s="56">
        <v>13561101</v>
      </c>
      <c r="F14" s="16">
        <v>14515774.84</v>
      </c>
      <c r="G14" s="56">
        <f>15000000+270000</f>
        <v>15270000</v>
      </c>
      <c r="H14" s="46">
        <v>15409516.55</v>
      </c>
      <c r="I14" s="56">
        <f>15270000+4428+331180</f>
        <v>15605608</v>
      </c>
      <c r="J14" s="16">
        <v>17070308.16</v>
      </c>
      <c r="K14" s="16">
        <v>17003754.97</v>
      </c>
      <c r="L14" s="16">
        <v>18600000</v>
      </c>
      <c r="M14" s="16">
        <v>18693419.21</v>
      </c>
      <c r="N14" s="16">
        <v>19000000</v>
      </c>
      <c r="O14" s="16">
        <v>17553201.1</v>
      </c>
      <c r="P14" s="17">
        <v>16240000</v>
      </c>
      <c r="Q14" s="17">
        <v>18064435.91</v>
      </c>
      <c r="R14" s="17">
        <v>17500000</v>
      </c>
      <c r="S14" s="17">
        <v>18978698.86</v>
      </c>
      <c r="T14" s="17">
        <v>18500000</v>
      </c>
      <c r="U14" s="17">
        <v>19527316.75</v>
      </c>
      <c r="V14" s="10">
        <v>19007667</v>
      </c>
      <c r="W14" s="10">
        <v>20463902.21</v>
      </c>
      <c r="X14" s="10">
        <v>20500000</v>
      </c>
      <c r="Y14" s="10">
        <v>23370642.85</v>
      </c>
      <c r="Z14" s="10">
        <v>26000000</v>
      </c>
      <c r="AA14" s="10">
        <v>27456156.58</v>
      </c>
      <c r="AB14" s="10">
        <v>27000000</v>
      </c>
      <c r="AC14" s="10">
        <v>28944266.37</v>
      </c>
      <c r="AD14" s="10">
        <v>27800000</v>
      </c>
      <c r="AE14" s="10">
        <v>28882669.03</v>
      </c>
      <c r="AF14" s="10">
        <v>28800000</v>
      </c>
      <c r="AG14" s="10">
        <v>35000000</v>
      </c>
      <c r="AH14" s="160"/>
    </row>
    <row r="15" spans="1:33" ht="13.5">
      <c r="A15" s="5"/>
      <c r="B15" s="95" t="s">
        <v>11</v>
      </c>
      <c r="C15" s="34">
        <f aca="true" t="shared" si="3" ref="C15:N15">SUM(C13:C14)</f>
        <v>11807567</v>
      </c>
      <c r="D15" s="47">
        <f t="shared" si="3"/>
        <v>14160525.63</v>
      </c>
      <c r="E15" s="34">
        <f t="shared" si="3"/>
        <v>14095101</v>
      </c>
      <c r="F15" s="35">
        <f t="shared" si="3"/>
        <v>15140121.75</v>
      </c>
      <c r="G15" s="66">
        <f t="shared" si="3"/>
        <v>15920000</v>
      </c>
      <c r="H15" s="70">
        <f t="shared" si="3"/>
        <v>16070676.38</v>
      </c>
      <c r="I15" s="66">
        <f t="shared" si="3"/>
        <v>16255608</v>
      </c>
      <c r="J15" s="35">
        <f t="shared" si="3"/>
        <v>17796791.48</v>
      </c>
      <c r="K15" s="35">
        <f t="shared" si="3"/>
        <v>17722321.02</v>
      </c>
      <c r="L15" s="35">
        <f t="shared" si="3"/>
        <v>19370000</v>
      </c>
      <c r="M15" s="35">
        <f t="shared" si="3"/>
        <v>19474838.400000002</v>
      </c>
      <c r="N15" s="35">
        <f t="shared" si="3"/>
        <v>19800000</v>
      </c>
      <c r="O15" s="35">
        <f aca="true" t="shared" si="4" ref="O15:T15">SUM(O13:O14)</f>
        <v>18290544.09</v>
      </c>
      <c r="P15" s="118">
        <f t="shared" si="4"/>
        <v>16890000</v>
      </c>
      <c r="Q15" s="118">
        <f t="shared" si="4"/>
        <v>18837427.84</v>
      </c>
      <c r="R15" s="118">
        <f t="shared" si="4"/>
        <v>18240000</v>
      </c>
      <c r="S15" s="118">
        <f>SUM(S13:S14)</f>
        <v>19788620.04</v>
      </c>
      <c r="T15" s="118">
        <f t="shared" si="4"/>
        <v>19270000</v>
      </c>
      <c r="U15" s="118">
        <f>SUM(U13:U14)</f>
        <v>20354306.05</v>
      </c>
      <c r="V15" s="118">
        <v>19807667</v>
      </c>
      <c r="W15" s="118">
        <v>21433680.78</v>
      </c>
      <c r="X15" s="118">
        <v>21414000</v>
      </c>
      <c r="Y15" s="118">
        <v>24454457.73</v>
      </c>
      <c r="Z15" s="118">
        <v>26950000</v>
      </c>
      <c r="AA15" s="118">
        <v>28627073.159999996</v>
      </c>
      <c r="AB15" s="118">
        <v>28000000</v>
      </c>
      <c r="AC15" s="118">
        <v>30164090.64</v>
      </c>
      <c r="AD15" s="118">
        <v>28800000</v>
      </c>
      <c r="AE15" s="118">
        <v>30092707.05</v>
      </c>
      <c r="AF15" s="118">
        <v>30000000</v>
      </c>
      <c r="AG15" s="118">
        <v>36320000</v>
      </c>
    </row>
    <row r="16" spans="1:33" ht="12.75">
      <c r="A16" s="5" t="s">
        <v>12</v>
      </c>
      <c r="B16" s="94" t="s">
        <v>13</v>
      </c>
      <c r="C16" s="20">
        <v>500000</v>
      </c>
      <c r="D16" s="45">
        <v>708306.9</v>
      </c>
      <c r="E16" s="20">
        <v>630000</v>
      </c>
      <c r="F16" s="10">
        <v>725056.88</v>
      </c>
      <c r="G16" s="20">
        <v>640000</v>
      </c>
      <c r="H16" s="45">
        <v>767565.76</v>
      </c>
      <c r="I16" s="20">
        <v>660000</v>
      </c>
      <c r="J16" s="10">
        <v>729648.81</v>
      </c>
      <c r="K16" s="10">
        <v>717677.9</v>
      </c>
      <c r="L16" s="10">
        <v>680000</v>
      </c>
      <c r="M16" s="10">
        <v>711380.56</v>
      </c>
      <c r="N16" s="10">
        <v>680000</v>
      </c>
      <c r="O16" s="10">
        <v>695513.73</v>
      </c>
      <c r="P16" s="17">
        <v>785865</v>
      </c>
      <c r="Q16" s="17">
        <v>712601.81</v>
      </c>
      <c r="R16" s="17">
        <v>721000</v>
      </c>
      <c r="S16" s="17">
        <v>709145.85</v>
      </c>
      <c r="T16" s="17">
        <v>690000</v>
      </c>
      <c r="U16" s="17">
        <v>714265.37</v>
      </c>
      <c r="V16" s="10">
        <v>690000</v>
      </c>
      <c r="W16" s="10">
        <v>714867.45</v>
      </c>
      <c r="X16" s="10">
        <v>690000</v>
      </c>
      <c r="Y16" s="10">
        <v>720923.39</v>
      </c>
      <c r="Z16" s="10">
        <v>690000</v>
      </c>
      <c r="AA16" s="10">
        <v>729226.34</v>
      </c>
      <c r="AB16" s="10">
        <v>690000</v>
      </c>
      <c r="AC16" s="10">
        <v>731163.44</v>
      </c>
      <c r="AD16" s="10">
        <v>690000</v>
      </c>
      <c r="AE16" s="10">
        <v>955887.88</v>
      </c>
      <c r="AF16" s="10">
        <v>690000</v>
      </c>
      <c r="AG16" s="10">
        <v>900000</v>
      </c>
    </row>
    <row r="17" spans="1:33" ht="12.75">
      <c r="A17" s="5" t="s">
        <v>14</v>
      </c>
      <c r="B17" s="94" t="s">
        <v>15</v>
      </c>
      <c r="C17" s="20">
        <v>125000</v>
      </c>
      <c r="D17" s="45">
        <v>185412.79</v>
      </c>
      <c r="E17" s="20">
        <v>150000</v>
      </c>
      <c r="F17" s="10">
        <v>187198.92</v>
      </c>
      <c r="G17" s="20">
        <v>180000</v>
      </c>
      <c r="H17" s="45">
        <v>201588.38</v>
      </c>
      <c r="I17" s="20">
        <v>186000</v>
      </c>
      <c r="J17" s="10">
        <v>196599.26</v>
      </c>
      <c r="K17" s="10">
        <v>171946.74</v>
      </c>
      <c r="L17" s="10">
        <f>13000+110000+8000+39000</f>
        <v>170000</v>
      </c>
      <c r="M17" s="10">
        <v>193380.35</v>
      </c>
      <c r="N17" s="10">
        <v>170000</v>
      </c>
      <c r="O17" s="10">
        <v>205343.05</v>
      </c>
      <c r="P17" s="17">
        <v>200000</v>
      </c>
      <c r="Q17" s="17">
        <v>222850.12</v>
      </c>
      <c r="R17" s="17">
        <v>220000</v>
      </c>
      <c r="S17" s="17">
        <v>226405.72</v>
      </c>
      <c r="T17" s="17">
        <v>210000</v>
      </c>
      <c r="U17" s="17">
        <v>240722.33</v>
      </c>
      <c r="V17" s="10">
        <v>216000</v>
      </c>
      <c r="W17" s="10">
        <v>247402.78</v>
      </c>
      <c r="X17" s="10">
        <v>220000</v>
      </c>
      <c r="Y17" s="10">
        <v>269578.86</v>
      </c>
      <c r="Z17" s="10">
        <v>230000</v>
      </c>
      <c r="AA17" s="10">
        <v>279825.83</v>
      </c>
      <c r="AB17" s="10">
        <v>248000</v>
      </c>
      <c r="AC17" s="10">
        <v>289673.39</v>
      </c>
      <c r="AD17" s="10">
        <v>253500</v>
      </c>
      <c r="AE17" s="10">
        <v>110095.84</v>
      </c>
      <c r="AF17" s="10">
        <v>118500</v>
      </c>
      <c r="AG17" s="10">
        <v>98500</v>
      </c>
    </row>
    <row r="18" spans="1:33" ht="12.75">
      <c r="A18" s="5" t="s">
        <v>50</v>
      </c>
      <c r="B18" s="94" t="s">
        <v>51</v>
      </c>
      <c r="C18" s="20"/>
      <c r="D18" s="45"/>
      <c r="E18" s="20"/>
      <c r="F18" s="10"/>
      <c r="G18" s="20"/>
      <c r="H18" s="45"/>
      <c r="I18" s="2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662511.26</v>
      </c>
      <c r="P18" s="17">
        <v>760000</v>
      </c>
      <c r="Q18" s="17">
        <v>864167.44</v>
      </c>
      <c r="R18" s="17">
        <v>540000</v>
      </c>
      <c r="S18" s="17">
        <v>913397.38</v>
      </c>
      <c r="T18" s="17">
        <v>540000</v>
      </c>
      <c r="U18" s="17">
        <v>882539.46</v>
      </c>
      <c r="V18" s="10">
        <v>640000</v>
      </c>
      <c r="W18" s="10">
        <v>936754.11</v>
      </c>
      <c r="X18" s="10">
        <v>0</v>
      </c>
      <c r="Y18" s="10">
        <v>0</v>
      </c>
      <c r="Z18" s="10">
        <v>0</v>
      </c>
      <c r="AA18" s="10">
        <v>0</v>
      </c>
      <c r="AB18" s="10">
        <v>0</v>
      </c>
      <c r="AC18" s="10">
        <v>0</v>
      </c>
      <c r="AD18" s="10">
        <v>0</v>
      </c>
      <c r="AE18" s="10">
        <v>0</v>
      </c>
      <c r="AF18" s="10">
        <v>0</v>
      </c>
      <c r="AG18" s="10">
        <v>0</v>
      </c>
    </row>
    <row r="19" spans="1:33" ht="12.75">
      <c r="A19" s="5" t="s">
        <v>16</v>
      </c>
      <c r="B19" s="94" t="s">
        <v>17</v>
      </c>
      <c r="C19" s="20">
        <v>75000</v>
      </c>
      <c r="D19" s="45">
        <v>168959.72</v>
      </c>
      <c r="E19" s="20">
        <v>120000</v>
      </c>
      <c r="F19" s="10">
        <v>196879.17</v>
      </c>
      <c r="G19" s="20">
        <v>180000</v>
      </c>
      <c r="H19" s="45">
        <v>228502</v>
      </c>
      <c r="I19" s="20">
        <v>200000</v>
      </c>
      <c r="J19" s="10">
        <v>250511.64</v>
      </c>
      <c r="K19" s="10">
        <v>195700.02</v>
      </c>
      <c r="L19" s="10">
        <v>200000</v>
      </c>
      <c r="M19" s="10">
        <v>195927.28</v>
      </c>
      <c r="N19" s="10">
        <v>200000</v>
      </c>
      <c r="O19" s="10">
        <v>200311.41</v>
      </c>
      <c r="P19" s="17">
        <v>200000</v>
      </c>
      <c r="Q19" s="17">
        <v>209754.99</v>
      </c>
      <c r="R19" s="17">
        <v>200000</v>
      </c>
      <c r="S19" s="17">
        <v>222915.44</v>
      </c>
      <c r="T19" s="17">
        <v>210000</v>
      </c>
      <c r="U19" s="17">
        <v>318478.48</v>
      </c>
      <c r="V19" s="10">
        <v>250000</v>
      </c>
      <c r="W19" s="10">
        <v>360474.24</v>
      </c>
      <c r="X19" s="10">
        <v>300000</v>
      </c>
      <c r="Y19" s="10">
        <v>339224.37</v>
      </c>
      <c r="Z19" s="10">
        <v>300000</v>
      </c>
      <c r="AA19" s="10">
        <v>324750.81</v>
      </c>
      <c r="AB19" s="10">
        <v>300000</v>
      </c>
      <c r="AC19" s="10">
        <v>322127.6</v>
      </c>
      <c r="AD19" s="10">
        <v>300000</v>
      </c>
      <c r="AE19" s="10">
        <v>268063.87</v>
      </c>
      <c r="AF19" s="10">
        <v>300000</v>
      </c>
      <c r="AG19" s="10">
        <v>300000</v>
      </c>
    </row>
    <row r="20" spans="1:33" ht="13.5" thickBot="1">
      <c r="A20" s="5" t="s">
        <v>71</v>
      </c>
      <c r="B20" s="94" t="s">
        <v>72</v>
      </c>
      <c r="C20" s="20"/>
      <c r="D20" s="45"/>
      <c r="E20" s="20"/>
      <c r="F20" s="10"/>
      <c r="G20" s="20"/>
      <c r="H20" s="45"/>
      <c r="I20" s="20"/>
      <c r="J20" s="10"/>
      <c r="K20" s="10"/>
      <c r="L20" s="10"/>
      <c r="M20" s="10"/>
      <c r="N20" s="10">
        <v>0</v>
      </c>
      <c r="O20" s="10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0">
        <v>0</v>
      </c>
      <c r="W20" s="10">
        <v>0</v>
      </c>
      <c r="X20" s="10">
        <v>640000</v>
      </c>
      <c r="Y20" s="10">
        <v>843016.05</v>
      </c>
      <c r="Z20" s="10">
        <v>500000</v>
      </c>
      <c r="AA20" s="10">
        <v>690320.62</v>
      </c>
      <c r="AB20" s="10">
        <v>500000</v>
      </c>
      <c r="AC20" s="10">
        <v>769527.15</v>
      </c>
      <c r="AD20" s="10">
        <v>500000</v>
      </c>
      <c r="AE20" s="10">
        <v>814891.84</v>
      </c>
      <c r="AF20" s="10">
        <v>500000</v>
      </c>
      <c r="AG20" s="10">
        <v>500000</v>
      </c>
    </row>
    <row r="21" spans="1:33" ht="13.5" thickBot="1">
      <c r="A21" s="7"/>
      <c r="B21" s="96" t="s">
        <v>18</v>
      </c>
      <c r="C21" s="36">
        <f aca="true" t="shared" si="5" ref="C21:K21">SUM(C16:C20,C15,C12,C9)</f>
        <v>30515037</v>
      </c>
      <c r="D21" s="48">
        <f t="shared" si="5"/>
        <v>36683321.56</v>
      </c>
      <c r="E21" s="36">
        <f t="shared" si="5"/>
        <v>33731101</v>
      </c>
      <c r="F21" s="37">
        <f t="shared" si="5"/>
        <v>37224192.09</v>
      </c>
      <c r="G21" s="36">
        <f t="shared" si="5"/>
        <v>37759000</v>
      </c>
      <c r="H21" s="48">
        <f t="shared" si="5"/>
        <v>41106484.33</v>
      </c>
      <c r="I21" s="36">
        <f t="shared" si="5"/>
        <v>39111608</v>
      </c>
      <c r="J21" s="37">
        <f t="shared" si="5"/>
        <v>44141684.18</v>
      </c>
      <c r="K21" s="37">
        <f t="shared" si="5"/>
        <v>38157825.31</v>
      </c>
      <c r="L21" s="92">
        <f aca="true" t="shared" si="6" ref="L21:S21">L9+L12+L15+L16+L17+L18+L20</f>
        <v>38958000</v>
      </c>
      <c r="M21" s="92">
        <f t="shared" si="6"/>
        <v>39766733.21</v>
      </c>
      <c r="N21" s="92">
        <v>39158000</v>
      </c>
      <c r="O21" s="92">
        <f t="shared" si="6"/>
        <v>40413980.779999994</v>
      </c>
      <c r="P21" s="92">
        <v>37845865</v>
      </c>
      <c r="Q21" s="92">
        <f t="shared" si="6"/>
        <v>41260952.18</v>
      </c>
      <c r="R21" s="92">
        <v>38321000</v>
      </c>
      <c r="S21" s="92">
        <f t="shared" si="6"/>
        <v>43616033.96</v>
      </c>
      <c r="T21" s="92">
        <v>40410000</v>
      </c>
      <c r="U21" s="92">
        <f>U9+U12+U15+U16+U17+U18+U20</f>
        <v>45404094.17</v>
      </c>
      <c r="V21" s="92">
        <v>42393667</v>
      </c>
      <c r="W21" s="92">
        <v>49476632.580000006</v>
      </c>
      <c r="X21" s="92">
        <v>46130000</v>
      </c>
      <c r="Y21" s="92">
        <v>53604973.82</v>
      </c>
      <c r="Z21" s="92">
        <v>53650000</v>
      </c>
      <c r="AA21" s="92">
        <v>59547562.809999995</v>
      </c>
      <c r="AB21" s="92">
        <v>58648000</v>
      </c>
      <c r="AC21" s="92">
        <v>64876096.349999994</v>
      </c>
      <c r="AD21" s="92">
        <v>59573500</v>
      </c>
      <c r="AE21" s="92">
        <v>61225496.09</v>
      </c>
      <c r="AF21" s="92">
        <v>55443500</v>
      </c>
      <c r="AG21" s="92">
        <v>62188500</v>
      </c>
    </row>
    <row r="22" spans="1:33" ht="12.75">
      <c r="A22" s="5" t="s">
        <v>19</v>
      </c>
      <c r="B22" s="94" t="s">
        <v>20</v>
      </c>
      <c r="C22" s="20">
        <v>5000</v>
      </c>
      <c r="D22" s="45">
        <v>87157.87</v>
      </c>
      <c r="E22" s="20">
        <v>5000</v>
      </c>
      <c r="F22" s="10">
        <v>107620.79</v>
      </c>
      <c r="G22" s="20">
        <v>37086</v>
      </c>
      <c r="H22" s="45">
        <v>106835.32</v>
      </c>
      <c r="I22" s="20">
        <v>5400</v>
      </c>
      <c r="J22" s="10">
        <v>127812.96</v>
      </c>
      <c r="K22" s="10">
        <v>141027.43</v>
      </c>
      <c r="L22" s="10">
        <f>5000+400</f>
        <v>5400</v>
      </c>
      <c r="M22" s="10">
        <v>133041.83</v>
      </c>
      <c r="N22" s="10">
        <v>5350</v>
      </c>
      <c r="O22" s="10">
        <v>194665.3</v>
      </c>
      <c r="P22" s="10">
        <v>5700</v>
      </c>
      <c r="Q22" s="10">
        <v>133185.37</v>
      </c>
      <c r="R22" s="10">
        <v>5700</v>
      </c>
      <c r="S22" s="10">
        <v>190639.59</v>
      </c>
      <c r="T22" s="10">
        <v>5800</v>
      </c>
      <c r="U22" s="10">
        <v>138384.46</v>
      </c>
      <c r="V22" s="10">
        <v>5500</v>
      </c>
      <c r="W22" s="10">
        <v>157323.38</v>
      </c>
      <c r="X22" s="10">
        <v>5500</v>
      </c>
      <c r="Y22" s="10">
        <v>162380.72</v>
      </c>
      <c r="Z22" s="10">
        <v>500</v>
      </c>
      <c r="AA22" s="10">
        <v>171332.3</v>
      </c>
      <c r="AB22" s="10">
        <v>500</v>
      </c>
      <c r="AC22" s="10">
        <v>183970.22</v>
      </c>
      <c r="AD22" s="10">
        <v>500</v>
      </c>
      <c r="AE22" s="10">
        <v>185382.36</v>
      </c>
      <c r="AF22" s="10">
        <v>500</v>
      </c>
      <c r="AG22" s="10">
        <v>500</v>
      </c>
    </row>
    <row r="23" spans="1:33" ht="12.75">
      <c r="A23" s="5" t="s">
        <v>21</v>
      </c>
      <c r="B23" s="94" t="s">
        <v>22</v>
      </c>
      <c r="C23" s="20">
        <v>3780</v>
      </c>
      <c r="D23" s="45">
        <v>129298.21</v>
      </c>
      <c r="E23" s="20">
        <v>0</v>
      </c>
      <c r="F23" s="10">
        <v>120607.81</v>
      </c>
      <c r="G23" s="20">
        <v>0</v>
      </c>
      <c r="H23" s="45">
        <v>77867.93</v>
      </c>
      <c r="I23" s="20">
        <v>0</v>
      </c>
      <c r="J23" s="10">
        <v>153933.8</v>
      </c>
      <c r="K23" s="10">
        <v>194924.5</v>
      </c>
      <c r="L23" s="10">
        <v>0</v>
      </c>
      <c r="M23" s="10">
        <v>196466.78</v>
      </c>
      <c r="N23" s="10">
        <v>0</v>
      </c>
      <c r="O23" s="10">
        <v>160239</v>
      </c>
      <c r="P23" s="10">
        <v>0</v>
      </c>
      <c r="Q23" s="10">
        <v>169728.6</v>
      </c>
      <c r="R23" s="10">
        <v>334333.3</v>
      </c>
      <c r="S23" s="10">
        <v>412194.9</v>
      </c>
      <c r="T23" s="10">
        <v>0</v>
      </c>
      <c r="U23" s="10">
        <v>56998.47</v>
      </c>
      <c r="V23" s="10">
        <v>0</v>
      </c>
      <c r="W23" s="10">
        <v>52863.77</v>
      </c>
      <c r="X23" s="10">
        <v>0</v>
      </c>
      <c r="Y23" s="10">
        <v>45588.51</v>
      </c>
      <c r="Z23" s="10">
        <v>0</v>
      </c>
      <c r="AA23" s="10">
        <v>63708.1</v>
      </c>
      <c r="AB23" s="10">
        <v>0</v>
      </c>
      <c r="AC23" s="10">
        <v>61476.13</v>
      </c>
      <c r="AD23" s="10">
        <v>0</v>
      </c>
      <c r="AE23" s="10">
        <v>98709.46</v>
      </c>
      <c r="AF23" s="10">
        <v>0</v>
      </c>
      <c r="AG23" s="10">
        <v>0</v>
      </c>
    </row>
    <row r="24" spans="1:33" ht="12.75">
      <c r="A24" s="5" t="s">
        <v>23</v>
      </c>
      <c r="B24" s="94" t="s">
        <v>24</v>
      </c>
      <c r="C24" s="20">
        <v>0</v>
      </c>
      <c r="D24" s="45">
        <v>0</v>
      </c>
      <c r="E24" s="20">
        <v>0</v>
      </c>
      <c r="F24" s="10">
        <v>0</v>
      </c>
      <c r="G24" s="20">
        <v>0</v>
      </c>
      <c r="H24" s="45">
        <v>0</v>
      </c>
      <c r="I24" s="2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</row>
    <row r="25" spans="1:34" ht="12.75">
      <c r="A25" s="5" t="s">
        <v>25</v>
      </c>
      <c r="B25" s="94" t="s">
        <v>26</v>
      </c>
      <c r="C25" s="20">
        <f>850000+100000+50000</f>
        <v>1000000</v>
      </c>
      <c r="D25" s="49">
        <v>1546988.52</v>
      </c>
      <c r="E25" s="57">
        <v>1005467.6</v>
      </c>
      <c r="F25" s="17">
        <v>1600956.59</v>
      </c>
      <c r="G25" s="57">
        <v>1277550</v>
      </c>
      <c r="H25" s="49">
        <v>657420.01</v>
      </c>
      <c r="I25" s="57">
        <v>260000</v>
      </c>
      <c r="J25" s="17">
        <v>1085003.32</v>
      </c>
      <c r="K25" s="17">
        <v>1465675.62</v>
      </c>
      <c r="L25" s="17">
        <v>75000</v>
      </c>
      <c r="M25" s="17">
        <v>1208885.59</v>
      </c>
      <c r="N25" s="17">
        <v>50000</v>
      </c>
      <c r="O25" s="17">
        <v>2163164.83</v>
      </c>
      <c r="P25" s="17">
        <v>521111</v>
      </c>
      <c r="Q25" s="17">
        <v>1692357.72</v>
      </c>
      <c r="R25" s="17">
        <v>171300</v>
      </c>
      <c r="S25" s="17">
        <v>4207190.33</v>
      </c>
      <c r="T25" s="17">
        <v>187750</v>
      </c>
      <c r="U25" s="17">
        <v>1050829.18</v>
      </c>
      <c r="V25" s="10">
        <v>195125</v>
      </c>
      <c r="W25" s="10">
        <v>890411.22</v>
      </c>
      <c r="X25" s="10">
        <v>178750</v>
      </c>
      <c r="Y25" s="10">
        <v>965763.93</v>
      </c>
      <c r="Z25" s="10">
        <v>169750</v>
      </c>
      <c r="AA25" s="10">
        <v>1357941.36</v>
      </c>
      <c r="AB25" s="10">
        <v>256250</v>
      </c>
      <c r="AC25" s="10">
        <v>2005560.02</v>
      </c>
      <c r="AD25" s="10">
        <v>652500</v>
      </c>
      <c r="AE25" s="10">
        <v>2205631.96</v>
      </c>
      <c r="AF25" s="10">
        <v>204300</v>
      </c>
      <c r="AG25" s="10">
        <v>515000</v>
      </c>
      <c r="AH25" s="160"/>
    </row>
    <row r="26" spans="1:33" ht="12.75">
      <c r="A26" s="5" t="s">
        <v>27</v>
      </c>
      <c r="B26" s="94" t="s">
        <v>28</v>
      </c>
      <c r="C26" s="20">
        <v>100000</v>
      </c>
      <c r="D26" s="45">
        <v>125567.98</v>
      </c>
      <c r="E26" s="20">
        <v>80000</v>
      </c>
      <c r="F26" s="10">
        <v>188028.63</v>
      </c>
      <c r="G26" s="20">
        <v>224800</v>
      </c>
      <c r="H26" s="45">
        <v>248644.93</v>
      </c>
      <c r="I26" s="20">
        <f>35000+3800+300+200+300+400+100000+89829+100000</f>
        <v>329829</v>
      </c>
      <c r="J26" s="10">
        <v>273851.59</v>
      </c>
      <c r="K26" s="10">
        <v>255725.38</v>
      </c>
      <c r="L26" s="10">
        <f>750+49000+100000+135000+700+700</f>
        <v>286150</v>
      </c>
      <c r="M26" s="10">
        <v>203325.46</v>
      </c>
      <c r="N26" s="10">
        <v>288250</v>
      </c>
      <c r="O26" s="10">
        <v>227588.66</v>
      </c>
      <c r="P26" s="10">
        <v>268100</v>
      </c>
      <c r="Q26" s="10">
        <v>286284.59</v>
      </c>
      <c r="R26" s="10">
        <v>339800</v>
      </c>
      <c r="S26" s="10">
        <v>410112.59</v>
      </c>
      <c r="T26" s="10">
        <v>332900</v>
      </c>
      <c r="U26" s="10">
        <v>395449.04</v>
      </c>
      <c r="V26" s="10">
        <v>267900</v>
      </c>
      <c r="W26" s="10">
        <v>432971.73</v>
      </c>
      <c r="X26" s="10">
        <v>262900</v>
      </c>
      <c r="Y26" s="10">
        <v>334840.35</v>
      </c>
      <c r="Z26" s="10">
        <v>247900</v>
      </c>
      <c r="AA26" s="10">
        <v>309224.39</v>
      </c>
      <c r="AB26" s="10">
        <v>238900</v>
      </c>
      <c r="AC26" s="10">
        <v>377723.71</v>
      </c>
      <c r="AD26" s="10">
        <v>232900</v>
      </c>
      <c r="AE26" s="10">
        <v>298114.52</v>
      </c>
      <c r="AF26" s="10">
        <v>228900</v>
      </c>
      <c r="AG26" s="10">
        <v>217900</v>
      </c>
    </row>
    <row r="27" spans="1:33" ht="13.5" thickBot="1">
      <c r="A27" s="5" t="s">
        <v>77</v>
      </c>
      <c r="B27" s="94" t="s">
        <v>78</v>
      </c>
      <c r="C27" s="20"/>
      <c r="D27" s="45"/>
      <c r="E27" s="20"/>
      <c r="F27" s="10"/>
      <c r="G27" s="20"/>
      <c r="H27" s="45"/>
      <c r="I27" s="20"/>
      <c r="J27" s="10"/>
      <c r="K27" s="10"/>
      <c r="L27" s="10"/>
      <c r="M27" s="10"/>
      <c r="N27" s="10"/>
      <c r="O27" s="10"/>
      <c r="P27" s="10"/>
      <c r="Q27" s="10"/>
      <c r="R27" s="10">
        <v>0</v>
      </c>
      <c r="S27" s="10">
        <v>0</v>
      </c>
      <c r="T27" s="10">
        <v>0</v>
      </c>
      <c r="U27" s="10">
        <v>0</v>
      </c>
      <c r="V27" s="10">
        <v>0</v>
      </c>
      <c r="W27" s="10">
        <v>0</v>
      </c>
      <c r="X27" s="10">
        <v>0</v>
      </c>
      <c r="Y27" s="10">
        <v>0</v>
      </c>
      <c r="Z27" s="10">
        <v>0</v>
      </c>
      <c r="AA27" s="10">
        <v>0</v>
      </c>
      <c r="AB27" s="10">
        <v>0</v>
      </c>
      <c r="AC27" s="10">
        <v>220129.27</v>
      </c>
      <c r="AD27" s="10">
        <v>175400</v>
      </c>
      <c r="AE27" s="10">
        <v>187261.17</v>
      </c>
      <c r="AF27" s="10">
        <v>175400</v>
      </c>
      <c r="AG27" s="10">
        <v>175400</v>
      </c>
    </row>
    <row r="28" spans="1:33" ht="13.5" thickBot="1">
      <c r="A28" s="7"/>
      <c r="B28" s="96" t="s">
        <v>29</v>
      </c>
      <c r="C28" s="36">
        <f>SUM(C22:C27)</f>
        <v>1108780</v>
      </c>
      <c r="D28" s="36">
        <f aca="true" t="shared" si="7" ref="D28:U28">SUM(D22:D27)</f>
        <v>1889012.58</v>
      </c>
      <c r="E28" s="36">
        <f t="shared" si="7"/>
        <v>1090467.6</v>
      </c>
      <c r="F28" s="36">
        <f t="shared" si="7"/>
        <v>2017213.8199999998</v>
      </c>
      <c r="G28" s="36">
        <f t="shared" si="7"/>
        <v>1539436</v>
      </c>
      <c r="H28" s="36">
        <f t="shared" si="7"/>
        <v>1090768.19</v>
      </c>
      <c r="I28" s="36">
        <f t="shared" si="7"/>
        <v>595229</v>
      </c>
      <c r="J28" s="36">
        <f t="shared" si="7"/>
        <v>1640601.6700000002</v>
      </c>
      <c r="K28" s="36">
        <f t="shared" si="7"/>
        <v>2057352.9300000002</v>
      </c>
      <c r="L28" s="36">
        <f t="shared" si="7"/>
        <v>366550</v>
      </c>
      <c r="M28" s="36">
        <f t="shared" si="7"/>
        <v>1741719.6600000001</v>
      </c>
      <c r="N28" s="36">
        <f t="shared" si="7"/>
        <v>343600</v>
      </c>
      <c r="O28" s="36">
        <f t="shared" si="7"/>
        <v>2745657.79</v>
      </c>
      <c r="P28" s="36">
        <f t="shared" si="7"/>
        <v>794911</v>
      </c>
      <c r="Q28" s="36">
        <f t="shared" si="7"/>
        <v>2281556.28</v>
      </c>
      <c r="R28" s="36">
        <f t="shared" si="7"/>
        <v>851133.3</v>
      </c>
      <c r="S28" s="36">
        <f t="shared" si="7"/>
        <v>5220137.41</v>
      </c>
      <c r="T28" s="36">
        <f t="shared" si="7"/>
        <v>526450</v>
      </c>
      <c r="U28" s="36">
        <f t="shared" si="7"/>
        <v>1641661.15</v>
      </c>
      <c r="V28" s="36">
        <v>468525</v>
      </c>
      <c r="W28" s="36">
        <v>1533570.0999999999</v>
      </c>
      <c r="X28" s="36">
        <v>447150</v>
      </c>
      <c r="Y28" s="36">
        <v>1508573.5100000002</v>
      </c>
      <c r="Z28" s="36">
        <v>418150</v>
      </c>
      <c r="AA28" s="36">
        <v>1902206.15</v>
      </c>
      <c r="AB28" s="36">
        <v>495650</v>
      </c>
      <c r="AC28" s="36">
        <v>2848859.35</v>
      </c>
      <c r="AD28" s="36">
        <v>1061300</v>
      </c>
      <c r="AE28" s="36">
        <v>2975099.4699999997</v>
      </c>
      <c r="AF28" s="36">
        <v>609100</v>
      </c>
      <c r="AG28" s="36">
        <v>908800</v>
      </c>
    </row>
    <row r="29" spans="1:33" ht="12.75">
      <c r="A29" s="8"/>
      <c r="B29" s="97"/>
      <c r="C29" s="22"/>
      <c r="D29" s="50"/>
      <c r="E29" s="22"/>
      <c r="F29" s="13"/>
      <c r="G29" s="22"/>
      <c r="H29" s="50"/>
      <c r="I29" s="22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</row>
    <row r="30" spans="1:33" ht="13.5" thickBot="1">
      <c r="A30" s="6" t="s">
        <v>30</v>
      </c>
      <c r="B30" s="98" t="s">
        <v>31</v>
      </c>
      <c r="C30" s="23"/>
      <c r="D30" s="51">
        <v>0</v>
      </c>
      <c r="E30" s="23">
        <v>0</v>
      </c>
      <c r="F30" s="11">
        <v>0</v>
      </c>
      <c r="G30" s="23">
        <v>0</v>
      </c>
      <c r="H30" s="51">
        <v>0</v>
      </c>
      <c r="I30" s="23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</row>
    <row r="31" spans="1:33" ht="13.5" thickBot="1">
      <c r="A31" s="15"/>
      <c r="B31" s="96" t="s">
        <v>32</v>
      </c>
      <c r="C31" s="36">
        <f aca="true" t="shared" si="8" ref="C31:R31">SUM(C30:C30)</f>
        <v>0</v>
      </c>
      <c r="D31" s="48">
        <f t="shared" si="8"/>
        <v>0</v>
      </c>
      <c r="E31" s="36">
        <f t="shared" si="8"/>
        <v>0</v>
      </c>
      <c r="F31" s="37">
        <f t="shared" si="8"/>
        <v>0</v>
      </c>
      <c r="G31" s="36">
        <f t="shared" si="8"/>
        <v>0</v>
      </c>
      <c r="H31" s="48">
        <f t="shared" si="8"/>
        <v>0</v>
      </c>
      <c r="I31" s="36">
        <f t="shared" si="8"/>
        <v>0</v>
      </c>
      <c r="J31" s="37">
        <f t="shared" si="8"/>
        <v>0</v>
      </c>
      <c r="K31" s="37">
        <f t="shared" si="8"/>
        <v>0</v>
      </c>
      <c r="L31" s="37">
        <f t="shared" si="8"/>
        <v>0</v>
      </c>
      <c r="M31" s="37">
        <f t="shared" si="8"/>
        <v>0</v>
      </c>
      <c r="N31" s="37">
        <f t="shared" si="8"/>
        <v>0</v>
      </c>
      <c r="O31" s="37">
        <f t="shared" si="8"/>
        <v>0</v>
      </c>
      <c r="P31" s="37">
        <f t="shared" si="8"/>
        <v>0</v>
      </c>
      <c r="Q31" s="37">
        <f t="shared" si="8"/>
        <v>0</v>
      </c>
      <c r="R31" s="37">
        <f t="shared" si="8"/>
        <v>0</v>
      </c>
      <c r="S31" s="37">
        <f>SUM(S30:S30)</f>
        <v>0</v>
      </c>
      <c r="T31" s="37">
        <v>0</v>
      </c>
      <c r="U31" s="143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</row>
    <row r="32" spans="1:33" ht="13.5" thickBot="1">
      <c r="A32" s="7"/>
      <c r="B32" s="99"/>
      <c r="C32" s="21"/>
      <c r="D32" s="52"/>
      <c r="E32" s="21"/>
      <c r="F32" s="12"/>
      <c r="G32" s="21"/>
      <c r="H32" s="52"/>
      <c r="I32" s="21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ht="13.5" thickBot="1">
      <c r="A33" s="78"/>
      <c r="B33" s="93" t="s">
        <v>33</v>
      </c>
      <c r="C33" s="86">
        <f aca="true" t="shared" si="9" ref="C33:K33">SUM(C31,C28,C21)</f>
        <v>31623817</v>
      </c>
      <c r="D33" s="85">
        <f t="shared" si="9"/>
        <v>38572334.14</v>
      </c>
      <c r="E33" s="84">
        <f t="shared" si="9"/>
        <v>34821568.6</v>
      </c>
      <c r="F33" s="86">
        <f t="shared" si="9"/>
        <v>39241405.910000004</v>
      </c>
      <c r="G33" s="84">
        <f t="shared" si="9"/>
        <v>39298436</v>
      </c>
      <c r="H33" s="85">
        <f t="shared" si="9"/>
        <v>42197252.519999996</v>
      </c>
      <c r="I33" s="84">
        <f t="shared" si="9"/>
        <v>39706837</v>
      </c>
      <c r="J33" s="86">
        <f t="shared" si="9"/>
        <v>45782285.85</v>
      </c>
      <c r="K33" s="86">
        <f t="shared" si="9"/>
        <v>40215178.24</v>
      </c>
      <c r="L33" s="86">
        <f aca="true" t="shared" si="10" ref="L33:S33">L21+L28+L31</f>
        <v>39324550</v>
      </c>
      <c r="M33" s="86">
        <f t="shared" si="10"/>
        <v>41508452.870000005</v>
      </c>
      <c r="N33" s="86">
        <f t="shared" si="10"/>
        <v>39501600</v>
      </c>
      <c r="O33" s="86">
        <f t="shared" si="10"/>
        <v>43159638.56999999</v>
      </c>
      <c r="P33" s="86">
        <f t="shared" si="10"/>
        <v>38640776</v>
      </c>
      <c r="Q33" s="86">
        <f t="shared" si="10"/>
        <v>43542508.46</v>
      </c>
      <c r="R33" s="86">
        <f t="shared" si="10"/>
        <v>39172133.3</v>
      </c>
      <c r="S33" s="86">
        <f t="shared" si="10"/>
        <v>48836171.370000005</v>
      </c>
      <c r="T33" s="86">
        <v>40936450</v>
      </c>
      <c r="U33" s="86">
        <f>U21+U28</f>
        <v>47045755.32</v>
      </c>
      <c r="V33" s="86">
        <v>42862192</v>
      </c>
      <c r="W33" s="86">
        <v>51010202.68000001</v>
      </c>
      <c r="X33" s="86">
        <v>46577150</v>
      </c>
      <c r="Y33" s="86">
        <v>55113547.33</v>
      </c>
      <c r="Z33" s="86">
        <v>54068150</v>
      </c>
      <c r="AA33" s="86">
        <v>61449768.95999999</v>
      </c>
      <c r="AB33" s="86">
        <v>59143650</v>
      </c>
      <c r="AC33" s="86">
        <v>67724955.69999999</v>
      </c>
      <c r="AD33" s="86">
        <v>60634800</v>
      </c>
      <c r="AE33" s="86">
        <v>64200595.56</v>
      </c>
      <c r="AF33" s="86">
        <v>56052600</v>
      </c>
      <c r="AG33" s="86">
        <v>63097300</v>
      </c>
    </row>
    <row r="34" spans="1:34" ht="12.75">
      <c r="A34" s="5">
        <v>4112</v>
      </c>
      <c r="B34" s="94" t="s">
        <v>56</v>
      </c>
      <c r="C34" s="10">
        <v>407409</v>
      </c>
      <c r="D34" s="45">
        <v>407409</v>
      </c>
      <c r="E34" s="20">
        <v>435391</v>
      </c>
      <c r="F34" s="10">
        <v>421064.96</v>
      </c>
      <c r="G34" s="20">
        <v>114816</v>
      </c>
      <c r="H34" s="49">
        <v>114816</v>
      </c>
      <c r="I34" s="20">
        <v>116345</v>
      </c>
      <c r="J34" s="10">
        <v>116345</v>
      </c>
      <c r="K34" s="10">
        <v>121267</v>
      </c>
      <c r="L34" s="17">
        <v>137783</v>
      </c>
      <c r="M34" s="17">
        <v>137783</v>
      </c>
      <c r="N34" s="17">
        <v>131979</v>
      </c>
      <c r="O34" s="17">
        <v>131979</v>
      </c>
      <c r="P34" s="17">
        <v>131033</v>
      </c>
      <c r="Q34" s="17">
        <v>131033</v>
      </c>
      <c r="R34" s="17">
        <v>131345</v>
      </c>
      <c r="S34" s="17">
        <v>131345</v>
      </c>
      <c r="T34" s="17">
        <v>814349</v>
      </c>
      <c r="U34" s="17">
        <v>814349</v>
      </c>
      <c r="V34" s="10">
        <v>833725.3</v>
      </c>
      <c r="W34" s="10">
        <v>833725.3</v>
      </c>
      <c r="X34" s="10">
        <v>906192.6</v>
      </c>
      <c r="Y34" s="147">
        <v>906192.6</v>
      </c>
      <c r="Z34" s="10">
        <v>959571</v>
      </c>
      <c r="AA34" s="10">
        <v>959571</v>
      </c>
      <c r="AB34" s="10">
        <v>1075508.6</v>
      </c>
      <c r="AC34" s="10">
        <v>1075508.6</v>
      </c>
      <c r="AD34" s="10">
        <v>1140915</v>
      </c>
      <c r="AE34" s="10">
        <v>1140915</v>
      </c>
      <c r="AF34" s="157">
        <v>1210478.1</v>
      </c>
      <c r="AG34" s="10">
        <v>1236449.4</v>
      </c>
      <c r="AH34" s="160"/>
    </row>
    <row r="35" spans="1:33" ht="12.75">
      <c r="A35" s="5">
        <v>4116</v>
      </c>
      <c r="B35" s="94" t="s">
        <v>40</v>
      </c>
      <c r="C35" s="10">
        <v>0</v>
      </c>
      <c r="D35" s="53">
        <v>6503882</v>
      </c>
      <c r="E35" s="20">
        <v>0</v>
      </c>
      <c r="F35" s="17">
        <v>6724949</v>
      </c>
      <c r="G35" s="20">
        <v>0</v>
      </c>
      <c r="H35" s="45">
        <v>7989161.7</v>
      </c>
      <c r="I35" s="20">
        <v>0</v>
      </c>
      <c r="J35" s="17">
        <v>8245848.6</v>
      </c>
      <c r="K35" s="17">
        <v>8845424.1</v>
      </c>
      <c r="L35" s="10">
        <v>0</v>
      </c>
      <c r="M35" s="17">
        <v>8686997.17</v>
      </c>
      <c r="N35" s="10">
        <v>0</v>
      </c>
      <c r="O35" s="10">
        <v>8962323.62</v>
      </c>
      <c r="P35" s="10">
        <v>0</v>
      </c>
      <c r="Q35" s="10">
        <v>9224935.5</v>
      </c>
      <c r="R35" s="10">
        <v>0</v>
      </c>
      <c r="S35" s="17">
        <v>10347958.5</v>
      </c>
      <c r="T35" s="10">
        <v>0</v>
      </c>
      <c r="U35" s="10">
        <v>10194344.8</v>
      </c>
      <c r="V35" s="10">
        <v>0</v>
      </c>
      <c r="W35" s="10">
        <v>11135763.9</v>
      </c>
      <c r="X35" s="10">
        <v>0</v>
      </c>
      <c r="Y35" s="147">
        <v>12414634.56</v>
      </c>
      <c r="Z35" s="10">
        <v>0</v>
      </c>
      <c r="AA35" s="147">
        <v>14218361.43</v>
      </c>
      <c r="AB35" s="10">
        <v>0</v>
      </c>
      <c r="AC35" s="10">
        <v>16741148.8</v>
      </c>
      <c r="AD35" s="10">
        <v>0</v>
      </c>
      <c r="AE35" s="10">
        <v>19050071.6</v>
      </c>
      <c r="AF35" s="157">
        <v>16636772</v>
      </c>
      <c r="AG35" s="10">
        <v>18540540</v>
      </c>
    </row>
    <row r="36" spans="1:33" ht="12.75">
      <c r="A36" s="5">
        <v>4116</v>
      </c>
      <c r="B36" s="94" t="s">
        <v>80</v>
      </c>
      <c r="C36" s="10"/>
      <c r="D36" s="45"/>
      <c r="E36" s="20"/>
      <c r="F36" s="17"/>
      <c r="G36" s="20"/>
      <c r="H36" s="45"/>
      <c r="I36" s="20"/>
      <c r="J36" s="17"/>
      <c r="K36" s="17"/>
      <c r="L36" s="10"/>
      <c r="M36" s="17"/>
      <c r="N36" s="10"/>
      <c r="O36" s="10"/>
      <c r="P36" s="10"/>
      <c r="Q36" s="10"/>
      <c r="R36" s="147"/>
      <c r="S36" s="147"/>
      <c r="T36" s="147">
        <v>0</v>
      </c>
      <c r="U36" s="147">
        <v>0</v>
      </c>
      <c r="V36" s="147">
        <v>0</v>
      </c>
      <c r="W36" s="147">
        <v>0</v>
      </c>
      <c r="X36" s="147">
        <v>0</v>
      </c>
      <c r="Y36" s="147">
        <v>0</v>
      </c>
      <c r="Z36" s="147">
        <v>0</v>
      </c>
      <c r="AA36" s="147">
        <v>0</v>
      </c>
      <c r="AB36" s="147">
        <v>0</v>
      </c>
      <c r="AC36" s="147">
        <v>223811.2</v>
      </c>
      <c r="AD36" s="147">
        <v>0</v>
      </c>
      <c r="AE36" s="10">
        <v>263301</v>
      </c>
      <c r="AF36" s="157">
        <v>289261.8</v>
      </c>
      <c r="AG36" s="10">
        <v>0</v>
      </c>
    </row>
    <row r="37" spans="1:33" ht="12.75" hidden="1">
      <c r="A37" s="5">
        <v>4121</v>
      </c>
      <c r="B37" s="94" t="s">
        <v>57</v>
      </c>
      <c r="C37" s="10">
        <v>-3111564</v>
      </c>
      <c r="D37" s="49">
        <v>-3111564</v>
      </c>
      <c r="E37" s="57">
        <v>-3190082.6</v>
      </c>
      <c r="F37" s="17">
        <v>-3190082.6</v>
      </c>
      <c r="G37" s="57">
        <v>-3258222</v>
      </c>
      <c r="H37" s="49">
        <v>-3258222</v>
      </c>
      <c r="I37" s="57">
        <v>-3422139.6</v>
      </c>
      <c r="J37" s="17">
        <v>-3422139.6</v>
      </c>
      <c r="K37" s="17">
        <v>-3748223.5</v>
      </c>
      <c r="L37" s="17">
        <v>-3534916</v>
      </c>
      <c r="M37" s="17">
        <v>-3534916</v>
      </c>
      <c r="N37" s="17">
        <v>-3454549</v>
      </c>
      <c r="O37" s="17">
        <v>-3454549</v>
      </c>
      <c r="P37" s="17">
        <v>-3300538</v>
      </c>
      <c r="Q37" s="17">
        <v>-3300538</v>
      </c>
      <c r="R37" s="17">
        <v>-3403500.6</v>
      </c>
      <c r="S37" s="17">
        <v>-3370000.6</v>
      </c>
      <c r="T37" s="17">
        <v>0</v>
      </c>
      <c r="U37" s="17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/>
      <c r="AF37" s="157" t="e">
        <v>#REF!</v>
      </c>
      <c r="AG37" s="10">
        <v>0</v>
      </c>
    </row>
    <row r="38" spans="1:33" ht="12.75">
      <c r="A38" s="5">
        <v>4131.2</v>
      </c>
      <c r="B38" s="94" t="s">
        <v>58</v>
      </c>
      <c r="C38" s="10">
        <v>273000</v>
      </c>
      <c r="D38" s="45">
        <v>941970.95</v>
      </c>
      <c r="E38" s="20">
        <v>638104</v>
      </c>
      <c r="F38" s="10">
        <v>806357.84</v>
      </c>
      <c r="G38" s="20">
        <v>632229</v>
      </c>
      <c r="H38" s="45">
        <v>599695.77</v>
      </c>
      <c r="I38" s="20">
        <v>801550</v>
      </c>
      <c r="J38" s="10">
        <v>1005256.07</v>
      </c>
      <c r="K38" s="10">
        <v>1463478.52</v>
      </c>
      <c r="L38" s="10">
        <v>1272288</v>
      </c>
      <c r="M38" s="10">
        <v>1122557.18</v>
      </c>
      <c r="N38" s="17">
        <v>1200000</v>
      </c>
      <c r="O38" s="17">
        <v>482932.21</v>
      </c>
      <c r="P38" s="10">
        <v>394936</v>
      </c>
      <c r="Q38" s="10">
        <v>556078.62</v>
      </c>
      <c r="R38" s="10">
        <v>895811</v>
      </c>
      <c r="S38" s="10">
        <v>1235251.75</v>
      </c>
      <c r="T38" s="10">
        <v>340327</v>
      </c>
      <c r="U38" s="10">
        <v>1744423.88</v>
      </c>
      <c r="V38" s="10">
        <v>717455</v>
      </c>
      <c r="W38" s="10">
        <v>1246600.03</v>
      </c>
      <c r="X38" s="10">
        <v>596535</v>
      </c>
      <c r="Y38" s="10">
        <v>1150894.51</v>
      </c>
      <c r="Z38" s="10">
        <v>2</v>
      </c>
      <c r="AA38" s="10">
        <v>1772592.12</v>
      </c>
      <c r="AB38" s="10">
        <v>19</v>
      </c>
      <c r="AC38" s="10">
        <v>509713.84</v>
      </c>
      <c r="AD38" s="10">
        <v>34</v>
      </c>
      <c r="AE38" s="10">
        <v>1121479.37</v>
      </c>
      <c r="AF38" s="157">
        <v>60926.3</v>
      </c>
      <c r="AG38" s="10">
        <v>94</v>
      </c>
    </row>
    <row r="39" spans="1:34" ht="13.5" thickBot="1">
      <c r="A39" s="6">
        <v>4137</v>
      </c>
      <c r="B39" s="98" t="s">
        <v>65</v>
      </c>
      <c r="C39" s="11"/>
      <c r="D39" s="51"/>
      <c r="E39" s="23"/>
      <c r="F39" s="11"/>
      <c r="G39" s="23"/>
      <c r="H39" s="51"/>
      <c r="I39" s="23"/>
      <c r="J39" s="11"/>
      <c r="K39" s="11"/>
      <c r="L39" s="11">
        <v>0</v>
      </c>
      <c r="M39" s="11">
        <v>0</v>
      </c>
      <c r="N39" s="130">
        <v>0</v>
      </c>
      <c r="O39" s="130">
        <v>0</v>
      </c>
      <c r="P39" s="11">
        <v>0</v>
      </c>
      <c r="Q39" s="11">
        <v>0</v>
      </c>
      <c r="R39" s="11">
        <v>0</v>
      </c>
      <c r="S39" s="11">
        <v>0</v>
      </c>
      <c r="T39" s="11">
        <v>10075.3</v>
      </c>
      <c r="U39" s="11">
        <v>180031.43</v>
      </c>
      <c r="V39" s="11">
        <v>10075.3</v>
      </c>
      <c r="W39" s="11">
        <v>221104.6</v>
      </c>
      <c r="X39" s="130">
        <v>12875.3</v>
      </c>
      <c r="Y39" s="130">
        <v>137152.68</v>
      </c>
      <c r="Z39" s="10">
        <v>28075.3</v>
      </c>
      <c r="AA39" s="10">
        <v>317890.94</v>
      </c>
      <c r="AB39" s="10">
        <v>31510.300000000003</v>
      </c>
      <c r="AC39" s="10">
        <v>359529.8</v>
      </c>
      <c r="AD39" s="10">
        <v>70583.6</v>
      </c>
      <c r="AE39" s="10">
        <v>149344.65</v>
      </c>
      <c r="AF39" s="157">
        <v>69661.2</v>
      </c>
      <c r="AG39" s="10">
        <v>64442.2</v>
      </c>
      <c r="AH39" s="160"/>
    </row>
    <row r="40" spans="1:33" ht="13.5" thickBot="1">
      <c r="A40" s="7"/>
      <c r="B40" s="96" t="s">
        <v>42</v>
      </c>
      <c r="C40" s="37">
        <f aca="true" t="shared" si="11" ref="C40:K40">SUM(C34:C38)</f>
        <v>-2431155</v>
      </c>
      <c r="D40" s="54">
        <f t="shared" si="11"/>
        <v>4741697.95</v>
      </c>
      <c r="E40" s="36">
        <f t="shared" si="11"/>
        <v>-2116587.6</v>
      </c>
      <c r="F40" s="36">
        <f t="shared" si="11"/>
        <v>4762289.2</v>
      </c>
      <c r="G40" s="36">
        <f t="shared" si="11"/>
        <v>-2511177</v>
      </c>
      <c r="H40" s="54">
        <f t="shared" si="11"/>
        <v>5445451.470000001</v>
      </c>
      <c r="I40" s="36">
        <f t="shared" si="11"/>
        <v>-2504244.6</v>
      </c>
      <c r="J40" s="37">
        <f t="shared" si="11"/>
        <v>5945310.07</v>
      </c>
      <c r="K40" s="36">
        <f t="shared" si="11"/>
        <v>6681946.119999999</v>
      </c>
      <c r="L40" s="36">
        <f aca="true" t="shared" si="12" ref="L40:T40">SUM(L34:L39)</f>
        <v>-2124845</v>
      </c>
      <c r="M40" s="36">
        <f t="shared" si="12"/>
        <v>6412421.35</v>
      </c>
      <c r="N40" s="36">
        <f t="shared" si="12"/>
        <v>-2122570</v>
      </c>
      <c r="O40" s="36">
        <f t="shared" si="12"/>
        <v>6122685.829999999</v>
      </c>
      <c r="P40" s="36">
        <f t="shared" si="12"/>
        <v>-2774569</v>
      </c>
      <c r="Q40" s="36">
        <f t="shared" si="12"/>
        <v>6611509.12</v>
      </c>
      <c r="R40" s="36">
        <f t="shared" si="12"/>
        <v>-2376344.6</v>
      </c>
      <c r="S40" s="36">
        <f t="shared" si="12"/>
        <v>8344554.65</v>
      </c>
      <c r="T40" s="36">
        <f t="shared" si="12"/>
        <v>1164751.3</v>
      </c>
      <c r="U40" s="36">
        <f>SUM(U34:U39)</f>
        <v>12933149.11</v>
      </c>
      <c r="V40" s="36">
        <v>1561255.6</v>
      </c>
      <c r="W40" s="36">
        <v>13437193.83</v>
      </c>
      <c r="X40" s="36">
        <v>1515602.9000000001</v>
      </c>
      <c r="Y40" s="36">
        <v>14608874.35</v>
      </c>
      <c r="Z40" s="36">
        <v>987648.3</v>
      </c>
      <c r="AA40" s="36">
        <v>17268415.490000002</v>
      </c>
      <c r="AB40" s="36">
        <v>1107037.9000000001</v>
      </c>
      <c r="AC40" s="36">
        <v>18909712.240000002</v>
      </c>
      <c r="AD40" s="36">
        <v>70617.6</v>
      </c>
      <c r="AE40" s="36">
        <v>21725111.62</v>
      </c>
      <c r="AF40" s="36">
        <v>18267099.400000002</v>
      </c>
      <c r="AG40" s="36">
        <v>19841525.599999998</v>
      </c>
    </row>
    <row r="41" spans="1:33" ht="13.5" thickBot="1">
      <c r="A41" s="78"/>
      <c r="B41" s="93" t="s">
        <v>63</v>
      </c>
      <c r="C41" s="86">
        <f aca="true" t="shared" si="13" ref="C41:K41">SUM(C40,C33)</f>
        <v>29192662</v>
      </c>
      <c r="D41" s="87">
        <f t="shared" si="13"/>
        <v>43314032.09</v>
      </c>
      <c r="E41" s="84">
        <f t="shared" si="13"/>
        <v>32704981</v>
      </c>
      <c r="F41" s="84">
        <f t="shared" si="13"/>
        <v>44003695.11000001</v>
      </c>
      <c r="G41" s="84">
        <f t="shared" si="13"/>
        <v>36787259</v>
      </c>
      <c r="H41" s="87">
        <f t="shared" si="13"/>
        <v>47642703.989999995</v>
      </c>
      <c r="I41" s="84">
        <f t="shared" si="13"/>
        <v>37202592.4</v>
      </c>
      <c r="J41" s="86">
        <f t="shared" si="13"/>
        <v>51727595.92</v>
      </c>
      <c r="K41" s="84">
        <f t="shared" si="13"/>
        <v>46897124.36</v>
      </c>
      <c r="L41" s="84">
        <f aca="true" t="shared" si="14" ref="L41:S41">L33+L40</f>
        <v>37199705</v>
      </c>
      <c r="M41" s="84">
        <f t="shared" si="14"/>
        <v>47920874.220000006</v>
      </c>
      <c r="N41" s="84">
        <f t="shared" si="14"/>
        <v>37379030</v>
      </c>
      <c r="O41" s="84">
        <f t="shared" si="14"/>
        <v>49282324.39999999</v>
      </c>
      <c r="P41" s="84">
        <f t="shared" si="14"/>
        <v>35866207</v>
      </c>
      <c r="Q41" s="84">
        <f t="shared" si="14"/>
        <v>50154017.58</v>
      </c>
      <c r="R41" s="84">
        <f t="shared" si="14"/>
        <v>36795788.699999996</v>
      </c>
      <c r="S41" s="84">
        <f t="shared" si="14"/>
        <v>57180726.02</v>
      </c>
      <c r="T41" s="84">
        <v>42101201.3</v>
      </c>
      <c r="U41" s="84">
        <f>U33+U40</f>
        <v>59978904.43</v>
      </c>
      <c r="V41" s="84">
        <v>44423447.6</v>
      </c>
      <c r="W41" s="84">
        <v>64447396.510000005</v>
      </c>
      <c r="X41" s="84">
        <v>48092752.9</v>
      </c>
      <c r="Y41" s="84">
        <v>69722421.67999999</v>
      </c>
      <c r="Z41" s="84">
        <v>55055798.3</v>
      </c>
      <c r="AA41" s="84">
        <v>78718184.44999999</v>
      </c>
      <c r="AB41" s="84">
        <v>60250687.9</v>
      </c>
      <c r="AC41" s="84">
        <v>86634667.94</v>
      </c>
      <c r="AD41" s="84">
        <v>60705417.6</v>
      </c>
      <c r="AE41" s="84">
        <v>85925707.18</v>
      </c>
      <c r="AF41" s="84">
        <v>74319699.4</v>
      </c>
      <c r="AG41" s="84">
        <v>82938825.6</v>
      </c>
    </row>
    <row r="42" spans="1:33" ht="13.5" thickBot="1">
      <c r="A42" s="9"/>
      <c r="B42" s="106"/>
      <c r="C42" s="14"/>
      <c r="D42" s="55"/>
      <c r="E42" s="24"/>
      <c r="F42" s="14"/>
      <c r="G42" s="24"/>
      <c r="H42" s="55"/>
      <c r="I42" s="2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3.5" thickBot="1">
      <c r="A43" s="78"/>
      <c r="B43" s="93" t="s">
        <v>81</v>
      </c>
      <c r="C43" s="100"/>
      <c r="D43" s="85"/>
      <c r="E43" s="84"/>
      <c r="F43" s="84"/>
      <c r="G43" s="84"/>
      <c r="H43" s="87"/>
      <c r="I43" s="84"/>
      <c r="J43" s="86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</row>
    <row r="44" spans="1:33" ht="12.75">
      <c r="A44" s="38">
        <v>8115</v>
      </c>
      <c r="B44" s="107" t="s">
        <v>60</v>
      </c>
      <c r="C44" s="101">
        <v>0</v>
      </c>
      <c r="D44" s="45">
        <v>0</v>
      </c>
      <c r="E44" s="20">
        <v>0</v>
      </c>
      <c r="F44" s="10">
        <v>0</v>
      </c>
      <c r="G44" s="20">
        <v>0</v>
      </c>
      <c r="H44" s="45">
        <v>0</v>
      </c>
      <c r="I44" s="20">
        <v>0</v>
      </c>
      <c r="J44" s="10">
        <v>0</v>
      </c>
      <c r="K44" s="10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47">
        <v>0</v>
      </c>
      <c r="AG44" s="147">
        <v>0</v>
      </c>
    </row>
    <row r="45" spans="1:33" ht="12.75">
      <c r="A45" s="39">
        <v>8115</v>
      </c>
      <c r="B45" s="108" t="s">
        <v>41</v>
      </c>
      <c r="C45" s="102">
        <v>6116725</v>
      </c>
      <c r="D45" s="45">
        <v>0</v>
      </c>
      <c r="E45" s="20">
        <v>6485732</v>
      </c>
      <c r="F45" s="10">
        <v>0</v>
      </c>
      <c r="G45" s="20">
        <v>6693429</v>
      </c>
      <c r="H45" s="45">
        <v>0</v>
      </c>
      <c r="I45" s="20">
        <f>7035808+342379</f>
        <v>7378187</v>
      </c>
      <c r="J45" s="10">
        <v>0</v>
      </c>
      <c r="K45" s="10">
        <v>0</v>
      </c>
      <c r="L45" s="10">
        <v>7506179</v>
      </c>
      <c r="M45" s="10">
        <v>0</v>
      </c>
      <c r="N45" s="10">
        <v>7351374</v>
      </c>
      <c r="O45" s="10">
        <v>0</v>
      </c>
      <c r="P45" s="10">
        <v>7837893</v>
      </c>
      <c r="Q45" s="10">
        <v>0</v>
      </c>
      <c r="R45" s="10">
        <v>8128218</v>
      </c>
      <c r="S45" s="10">
        <v>0</v>
      </c>
      <c r="T45" s="10">
        <v>8395863</v>
      </c>
      <c r="U45" s="10">
        <v>0</v>
      </c>
      <c r="V45" s="10">
        <v>8634385</v>
      </c>
      <c r="W45" s="10">
        <v>0</v>
      </c>
      <c r="X45" s="10">
        <v>9511237</v>
      </c>
      <c r="Y45" s="10">
        <v>0</v>
      </c>
      <c r="Z45" s="10">
        <v>10509098</v>
      </c>
      <c r="AA45" s="147">
        <v>0</v>
      </c>
      <c r="AB45" s="10">
        <v>12345674.7</v>
      </c>
      <c r="AC45" s="10">
        <v>0</v>
      </c>
      <c r="AD45" s="10">
        <v>14689936.5</v>
      </c>
      <c r="AE45" s="10">
        <v>0</v>
      </c>
      <c r="AF45" s="147">
        <v>0</v>
      </c>
      <c r="AG45" s="147">
        <v>0</v>
      </c>
    </row>
    <row r="46" spans="1:34" ht="12.75">
      <c r="A46" s="39">
        <v>8115</v>
      </c>
      <c r="B46" s="109" t="s">
        <v>44</v>
      </c>
      <c r="C46" s="103">
        <v>2300000</v>
      </c>
      <c r="D46" s="45">
        <v>2300000</v>
      </c>
      <c r="E46" s="20">
        <v>2000000</v>
      </c>
      <c r="F46" s="10">
        <v>2000000</v>
      </c>
      <c r="G46" s="20">
        <v>0</v>
      </c>
      <c r="H46" s="45">
        <v>0</v>
      </c>
      <c r="I46" s="20">
        <v>0</v>
      </c>
      <c r="J46" s="10">
        <v>0</v>
      </c>
      <c r="K46" s="10">
        <v>0</v>
      </c>
      <c r="L46" s="10">
        <v>1000000</v>
      </c>
      <c r="M46" s="10">
        <v>1000000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2500000</v>
      </c>
      <c r="U46" s="10">
        <v>2500000</v>
      </c>
      <c r="V46" s="10">
        <v>2500000</v>
      </c>
      <c r="W46" s="10">
        <v>2500000</v>
      </c>
      <c r="X46" s="10">
        <v>7800000</v>
      </c>
      <c r="Y46" s="10">
        <v>7800000</v>
      </c>
      <c r="Z46" s="10">
        <v>2000000</v>
      </c>
      <c r="AA46" s="10">
        <v>2000000</v>
      </c>
      <c r="AB46" s="10">
        <v>0</v>
      </c>
      <c r="AC46" s="10">
        <v>0</v>
      </c>
      <c r="AD46" s="10">
        <v>861798.2</v>
      </c>
      <c r="AE46" s="10">
        <v>0</v>
      </c>
      <c r="AF46" s="17">
        <v>90926.2</v>
      </c>
      <c r="AG46" s="17">
        <v>6270000</v>
      </c>
      <c r="AH46" s="160"/>
    </row>
    <row r="47" spans="1:34" ht="12.75">
      <c r="A47" s="39">
        <v>8115</v>
      </c>
      <c r="B47" s="109" t="s">
        <v>69</v>
      </c>
      <c r="C47" s="103"/>
      <c r="D47" s="45"/>
      <c r="E47" s="20"/>
      <c r="F47" s="10"/>
      <c r="G47" s="20"/>
      <c r="H47" s="45"/>
      <c r="I47" s="20"/>
      <c r="J47" s="10"/>
      <c r="K47" s="10"/>
      <c r="L47" s="10"/>
      <c r="M47" s="10"/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253473.3</v>
      </c>
      <c r="Y47" s="10">
        <v>253473.3</v>
      </c>
      <c r="Z47" s="10">
        <v>140250</v>
      </c>
      <c r="AA47" s="10">
        <v>140250</v>
      </c>
      <c r="AB47" s="10">
        <v>2880592.8</v>
      </c>
      <c r="AC47" s="10">
        <v>2880592.8</v>
      </c>
      <c r="AD47" s="10">
        <v>2739670.6</v>
      </c>
      <c r="AE47" s="10">
        <v>2739670.6</v>
      </c>
      <c r="AF47" s="17">
        <v>2924083.9</v>
      </c>
      <c r="AG47" s="17">
        <v>3132534.2</v>
      </c>
      <c r="AH47" s="160"/>
    </row>
    <row r="48" spans="1:33" ht="13.5" thickBot="1">
      <c r="A48" s="5">
        <v>8115</v>
      </c>
      <c r="B48" s="67" t="s">
        <v>59</v>
      </c>
      <c r="C48" s="104">
        <v>4176794.1</v>
      </c>
      <c r="D48" s="45">
        <v>4176794.1</v>
      </c>
      <c r="E48" s="20">
        <v>2599682.3</v>
      </c>
      <c r="F48" s="10">
        <v>2599682.3</v>
      </c>
      <c r="G48" s="20">
        <v>3459472.3</v>
      </c>
      <c r="H48" s="45">
        <v>3459472.3</v>
      </c>
      <c r="I48" s="20">
        <v>1008790</v>
      </c>
      <c r="J48" s="10">
        <v>1008790</v>
      </c>
      <c r="K48" s="10">
        <v>3916270</v>
      </c>
      <c r="L48" s="10">
        <v>1275083.7</v>
      </c>
      <c r="M48" s="10">
        <v>1275083.7</v>
      </c>
      <c r="N48" s="17">
        <f>1709930.6+52650</f>
        <v>1762580.6</v>
      </c>
      <c r="O48" s="17">
        <v>1762580.6</v>
      </c>
      <c r="P48" s="10">
        <v>1612192.3</v>
      </c>
      <c r="Q48" s="10">
        <v>1612192.3</v>
      </c>
      <c r="R48" s="10">
        <v>4421605</v>
      </c>
      <c r="S48" s="10">
        <v>4421605</v>
      </c>
      <c r="T48" s="10">
        <v>4648892.44</v>
      </c>
      <c r="U48" s="10">
        <v>4648892.44</v>
      </c>
      <c r="V48" s="10">
        <v>4827796.6</v>
      </c>
      <c r="W48" s="10">
        <v>4827796.6</v>
      </c>
      <c r="X48" s="10">
        <v>2985617.1</v>
      </c>
      <c r="Y48" s="17">
        <v>2985617.1</v>
      </c>
      <c r="Z48" s="10">
        <v>4996852.3</v>
      </c>
      <c r="AA48" s="10">
        <v>4996852.3</v>
      </c>
      <c r="AB48" s="10">
        <v>4105375.5</v>
      </c>
      <c r="AC48" s="10">
        <v>4105375.5</v>
      </c>
      <c r="AD48" s="10">
        <v>3463905.6</v>
      </c>
      <c r="AE48" s="10">
        <v>3463905.6</v>
      </c>
      <c r="AF48" s="17">
        <v>0</v>
      </c>
      <c r="AG48" s="17">
        <v>0</v>
      </c>
    </row>
    <row r="49" spans="1:34" ht="12.75">
      <c r="A49" s="5">
        <v>8115</v>
      </c>
      <c r="B49" s="110" t="s">
        <v>74</v>
      </c>
      <c r="C49" s="103"/>
      <c r="D49" s="45"/>
      <c r="E49" s="20"/>
      <c r="F49" s="10"/>
      <c r="G49" s="20"/>
      <c r="H49" s="45"/>
      <c r="I49" s="20"/>
      <c r="J49" s="10"/>
      <c r="K49" s="10"/>
      <c r="L49" s="10"/>
      <c r="M49" s="10"/>
      <c r="N49" s="17">
        <v>0</v>
      </c>
      <c r="O49" s="17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136708</v>
      </c>
      <c r="Y49" s="147">
        <v>136708</v>
      </c>
      <c r="Z49" s="10">
        <v>300000</v>
      </c>
      <c r="AA49" s="10">
        <v>300000</v>
      </c>
      <c r="AB49" s="10">
        <v>151000</v>
      </c>
      <c r="AC49" s="10">
        <v>151000</v>
      </c>
      <c r="AD49" s="10">
        <v>245883.5</v>
      </c>
      <c r="AE49" s="10">
        <v>245883.5</v>
      </c>
      <c r="AF49" s="17">
        <v>264311.2</v>
      </c>
      <c r="AG49" s="17">
        <v>270776</v>
      </c>
      <c r="AH49" s="160"/>
    </row>
    <row r="50" spans="1:33" ht="12.75">
      <c r="A50" s="5">
        <v>8115</v>
      </c>
      <c r="B50" s="110" t="s">
        <v>46</v>
      </c>
      <c r="C50" s="105"/>
      <c r="D50" s="45"/>
      <c r="E50" s="20"/>
      <c r="F50" s="10"/>
      <c r="G50" s="20">
        <v>0</v>
      </c>
      <c r="H50" s="45">
        <v>0</v>
      </c>
      <c r="I50" s="2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7">
        <v>5000000</v>
      </c>
      <c r="AG50" s="17">
        <v>0</v>
      </c>
    </row>
    <row r="51" spans="1:33" ht="12.75" hidden="1">
      <c r="A51" s="5">
        <v>8121</v>
      </c>
      <c r="B51" s="110" t="s">
        <v>47</v>
      </c>
      <c r="C51" s="105"/>
      <c r="D51" s="45"/>
      <c r="E51" s="20"/>
      <c r="F51" s="10"/>
      <c r="G51" s="20"/>
      <c r="H51" s="45"/>
      <c r="I51" s="20">
        <v>0</v>
      </c>
      <c r="J51" s="10">
        <v>0</v>
      </c>
      <c r="K51" s="10">
        <v>0</v>
      </c>
      <c r="L51" s="10">
        <v>5000000</v>
      </c>
      <c r="M51" s="10">
        <v>5000000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/>
      <c r="AD51" s="10">
        <v>0</v>
      </c>
      <c r="AE51" s="10"/>
      <c r="AF51" s="17">
        <v>0</v>
      </c>
      <c r="AG51" s="17">
        <v>0</v>
      </c>
    </row>
    <row r="52" spans="1:33" ht="12.75" hidden="1">
      <c r="A52" s="68" t="s">
        <v>45</v>
      </c>
      <c r="B52" s="109" t="s">
        <v>37</v>
      </c>
      <c r="C52" s="102">
        <v>14901</v>
      </c>
      <c r="D52" s="45">
        <v>14901</v>
      </c>
      <c r="E52" s="20">
        <v>15234</v>
      </c>
      <c r="F52" s="10">
        <v>15234</v>
      </c>
      <c r="G52" s="20">
        <v>10944.7</v>
      </c>
      <c r="H52" s="45">
        <v>10944.7</v>
      </c>
      <c r="I52" s="20">
        <v>13308.6</v>
      </c>
      <c r="J52" s="10">
        <v>13308.6</v>
      </c>
      <c r="K52" s="10">
        <v>5965.7</v>
      </c>
      <c r="L52" s="17">
        <v>2826.7</v>
      </c>
      <c r="M52" s="17">
        <v>2826.7</v>
      </c>
      <c r="N52" s="17">
        <v>3055.5</v>
      </c>
      <c r="O52" s="17">
        <v>3034.33</v>
      </c>
      <c r="P52" s="17">
        <v>7400</v>
      </c>
      <c r="Q52" s="17">
        <v>7400</v>
      </c>
      <c r="R52" s="17">
        <v>4852.7</v>
      </c>
      <c r="S52" s="17">
        <v>4852.7</v>
      </c>
      <c r="T52" s="17">
        <v>0</v>
      </c>
      <c r="U52" s="17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/>
      <c r="AD52" s="10">
        <v>0</v>
      </c>
      <c r="AE52" s="10"/>
      <c r="AF52" s="17">
        <v>0</v>
      </c>
      <c r="AG52" s="17">
        <v>0</v>
      </c>
    </row>
    <row r="53" spans="1:33" ht="12.75">
      <c r="A53" s="68" t="s">
        <v>83</v>
      </c>
      <c r="B53" s="109" t="s">
        <v>84</v>
      </c>
      <c r="C53" s="102"/>
      <c r="D53" s="45"/>
      <c r="E53" s="20"/>
      <c r="F53" s="10"/>
      <c r="G53" s="20"/>
      <c r="H53" s="45"/>
      <c r="I53" s="20"/>
      <c r="J53" s="10"/>
      <c r="K53" s="10"/>
      <c r="L53" s="17"/>
      <c r="M53" s="17"/>
      <c r="N53" s="17"/>
      <c r="O53" s="17"/>
      <c r="P53" s="17"/>
      <c r="Q53" s="17"/>
      <c r="R53" s="17"/>
      <c r="S53" s="17"/>
      <c r="T53" s="17">
        <v>0</v>
      </c>
      <c r="U53" s="17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7">
        <v>5000000</v>
      </c>
      <c r="AG53" s="17">
        <v>0</v>
      </c>
    </row>
    <row r="54" spans="1:33" ht="13.5" thickBot="1">
      <c r="A54" s="6">
        <v>8223</v>
      </c>
      <c r="B54" s="120" t="s">
        <v>67</v>
      </c>
      <c r="C54" s="103"/>
      <c r="D54" s="51"/>
      <c r="E54" s="23"/>
      <c r="F54" s="11"/>
      <c r="G54" s="23"/>
      <c r="H54" s="51"/>
      <c r="I54" s="23"/>
      <c r="J54" s="11"/>
      <c r="K54" s="11"/>
      <c r="L54" s="11">
        <v>0</v>
      </c>
      <c r="M54" s="11">
        <v>0</v>
      </c>
      <c r="N54" s="11">
        <v>0</v>
      </c>
      <c r="O54" s="11">
        <v>6000000</v>
      </c>
      <c r="P54" s="11">
        <v>0</v>
      </c>
      <c r="Q54" s="11">
        <v>2500000</v>
      </c>
      <c r="R54" s="11">
        <v>0</v>
      </c>
      <c r="S54" s="11">
        <v>0</v>
      </c>
      <c r="T54" s="11">
        <v>0</v>
      </c>
      <c r="U54" s="11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7">
        <v>0</v>
      </c>
      <c r="AG54" s="17">
        <v>0</v>
      </c>
    </row>
    <row r="55" spans="1:33" ht="13.5" thickBot="1">
      <c r="A55" s="78"/>
      <c r="B55" s="93" t="s">
        <v>82</v>
      </c>
      <c r="C55" s="86">
        <f>SUM(C44:C48)</f>
        <v>12593519.1</v>
      </c>
      <c r="D55" s="87">
        <f>SUM(D44:D48)</f>
        <v>6476794.1</v>
      </c>
      <c r="E55" s="84">
        <f>SUM(E44:E48)</f>
        <v>11085414.3</v>
      </c>
      <c r="F55" s="84">
        <f>SUM(F44:F48)</f>
        <v>4599682.3</v>
      </c>
      <c r="G55" s="84">
        <f aca="true" t="shared" si="15" ref="G55:N55">SUM(G44:G54)</f>
        <v>10163846</v>
      </c>
      <c r="H55" s="87">
        <f t="shared" si="15"/>
        <v>3470417</v>
      </c>
      <c r="I55" s="84">
        <f t="shared" si="15"/>
        <v>8400285.6</v>
      </c>
      <c r="J55" s="86">
        <f t="shared" si="15"/>
        <v>1022098.6</v>
      </c>
      <c r="K55" s="84">
        <f t="shared" si="15"/>
        <v>3922235.7</v>
      </c>
      <c r="L55" s="84">
        <f t="shared" si="15"/>
        <v>14784089.399999999</v>
      </c>
      <c r="M55" s="84">
        <f t="shared" si="15"/>
        <v>7277910.4</v>
      </c>
      <c r="N55" s="84">
        <f t="shared" si="15"/>
        <v>9117010.1</v>
      </c>
      <c r="O55" s="84">
        <f>SUM(O48:O54)</f>
        <v>7765614.93</v>
      </c>
      <c r="P55" s="84">
        <f aca="true" t="shared" si="16" ref="P55:U55">SUM(P44:P54)</f>
        <v>9457485.3</v>
      </c>
      <c r="Q55" s="84">
        <f t="shared" si="16"/>
        <v>4119592.3</v>
      </c>
      <c r="R55" s="84">
        <f t="shared" si="16"/>
        <v>12554675.7</v>
      </c>
      <c r="S55" s="84">
        <f t="shared" si="16"/>
        <v>4426457.7</v>
      </c>
      <c r="T55" s="84">
        <f t="shared" si="16"/>
        <v>15544755.440000001</v>
      </c>
      <c r="U55" s="84">
        <f t="shared" si="16"/>
        <v>7148892.44</v>
      </c>
      <c r="V55" s="84">
        <v>15962181.6</v>
      </c>
      <c r="W55" s="84">
        <v>7327796.6</v>
      </c>
      <c r="X55" s="84">
        <v>20687035.400000002</v>
      </c>
      <c r="Y55" s="84">
        <v>11175798.4</v>
      </c>
      <c r="Z55" s="84">
        <v>17946200.3</v>
      </c>
      <c r="AA55" s="84">
        <v>7437102.3</v>
      </c>
      <c r="AB55" s="84">
        <v>19482643</v>
      </c>
      <c r="AC55" s="84">
        <v>7136968.3</v>
      </c>
      <c r="AD55" s="84">
        <v>23142109.400000002</v>
      </c>
      <c r="AE55" s="84">
        <v>23142109.400000002</v>
      </c>
      <c r="AF55" s="152">
        <v>13279321.3</v>
      </c>
      <c r="AG55" s="152">
        <v>9673310.2</v>
      </c>
    </row>
    <row r="56" spans="1:33" ht="13.5" thickBot="1">
      <c r="A56" s="6"/>
      <c r="B56" s="111"/>
      <c r="C56" s="104"/>
      <c r="D56" s="51"/>
      <c r="E56" s="23"/>
      <c r="F56" s="11"/>
      <c r="G56" s="23"/>
      <c r="H56" s="51"/>
      <c r="I56" s="23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51"/>
      <c r="AF56" s="149"/>
      <c r="AG56" s="149"/>
    </row>
    <row r="57" spans="1:33" ht="13.5" thickBot="1">
      <c r="A57" s="78"/>
      <c r="B57" s="93" t="s">
        <v>64</v>
      </c>
      <c r="C57" s="86">
        <f aca="true" t="shared" si="17" ref="C57:J57">SUM(C41+C55)</f>
        <v>41786181.1</v>
      </c>
      <c r="D57" s="87">
        <f t="shared" si="17"/>
        <v>49790826.190000005</v>
      </c>
      <c r="E57" s="84">
        <f t="shared" si="17"/>
        <v>43790395.3</v>
      </c>
      <c r="F57" s="84">
        <f t="shared" si="17"/>
        <v>48603377.410000004</v>
      </c>
      <c r="G57" s="84">
        <f t="shared" si="17"/>
        <v>46951105</v>
      </c>
      <c r="H57" s="87">
        <f t="shared" si="17"/>
        <v>51113120.989999995</v>
      </c>
      <c r="I57" s="84">
        <f t="shared" si="17"/>
        <v>45602878</v>
      </c>
      <c r="J57" s="86">
        <f t="shared" si="17"/>
        <v>52749694.52</v>
      </c>
      <c r="K57" s="84" t="e">
        <f>+fin.zdroje!T68v</f>
        <v>#NAME?</v>
      </c>
      <c r="L57" s="84">
        <f aca="true" t="shared" si="18" ref="L57:S57">L41+L55</f>
        <v>51983794.4</v>
      </c>
      <c r="M57" s="84">
        <f t="shared" si="18"/>
        <v>55198784.620000005</v>
      </c>
      <c r="N57" s="84">
        <f t="shared" si="18"/>
        <v>46496040.1</v>
      </c>
      <c r="O57" s="84">
        <f t="shared" si="18"/>
        <v>57047939.32999999</v>
      </c>
      <c r="P57" s="84">
        <f t="shared" si="18"/>
        <v>45323692.3</v>
      </c>
      <c r="Q57" s="84">
        <f t="shared" si="18"/>
        <v>54273609.879999995</v>
      </c>
      <c r="R57" s="84">
        <f t="shared" si="18"/>
        <v>49350464.39999999</v>
      </c>
      <c r="S57" s="84">
        <f t="shared" si="18"/>
        <v>61607183.720000006</v>
      </c>
      <c r="T57" s="84">
        <v>57645956.74</v>
      </c>
      <c r="U57" s="84">
        <f>U41+U55</f>
        <v>67127796.87</v>
      </c>
      <c r="V57" s="84">
        <v>60385629.2</v>
      </c>
      <c r="W57" s="84">
        <v>71775193.11</v>
      </c>
      <c r="X57" s="84">
        <v>68779788.3</v>
      </c>
      <c r="Y57" s="84">
        <v>80898220.08</v>
      </c>
      <c r="Z57" s="84">
        <v>73001998.6</v>
      </c>
      <c r="AA57" s="84">
        <v>86155286.74999999</v>
      </c>
      <c r="AB57" s="84">
        <v>79733330.9</v>
      </c>
      <c r="AC57" s="84">
        <v>93771636.24</v>
      </c>
      <c r="AD57" s="84">
        <v>83847527</v>
      </c>
      <c r="AE57" s="84">
        <v>83847527</v>
      </c>
      <c r="AF57" s="152">
        <v>87599020.7</v>
      </c>
      <c r="AG57" s="152">
        <v>92612135.8</v>
      </c>
    </row>
    <row r="58" spans="1:33" ht="13.5" thickBot="1">
      <c r="A58" s="6"/>
      <c r="B58" s="112"/>
      <c r="E58" s="58"/>
      <c r="I58" s="74"/>
      <c r="P58" s="2"/>
      <c r="Q58" s="2"/>
      <c r="R58" s="2"/>
      <c r="S58" s="2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50"/>
      <c r="AG58" s="150"/>
    </row>
    <row r="59" spans="1:33" ht="12.75">
      <c r="A59" s="25" t="s">
        <v>52</v>
      </c>
      <c r="B59" s="114" t="s">
        <v>79</v>
      </c>
      <c r="C59" s="26"/>
      <c r="D59" s="27"/>
      <c r="E59" s="62">
        <f>1102431+15572</f>
        <v>1118003</v>
      </c>
      <c r="F59" s="59"/>
      <c r="G59" s="62">
        <f>939241+65641+10944.7</f>
        <v>1015826.7</v>
      </c>
      <c r="H59" s="71"/>
      <c r="I59" s="62">
        <f>1000227.4</f>
        <v>1000227.4</v>
      </c>
      <c r="J59" s="33"/>
      <c r="K59" s="33"/>
      <c r="L59" s="136">
        <f>5773926.7-2826.7</f>
        <v>5771100</v>
      </c>
      <c r="M59" s="69"/>
      <c r="N59" s="136">
        <f>815494</f>
        <v>815494</v>
      </c>
      <c r="O59" s="69"/>
      <c r="P59" s="136">
        <f>795189+200000</f>
        <v>995189</v>
      </c>
      <c r="Q59" s="69"/>
      <c r="R59" s="136">
        <v>795189</v>
      </c>
      <c r="S59" s="136"/>
      <c r="T59" s="136">
        <v>795189</v>
      </c>
      <c r="U59" s="136"/>
      <c r="V59" s="137">
        <v>1034661</v>
      </c>
      <c r="W59" s="137"/>
      <c r="X59" s="137">
        <v>973632</v>
      </c>
      <c r="Y59" s="137"/>
      <c r="Z59" s="137">
        <v>933032</v>
      </c>
      <c r="AA59" s="137"/>
      <c r="AB59" s="137">
        <v>933032</v>
      </c>
      <c r="AC59" s="137"/>
      <c r="AD59" s="137">
        <v>763032</v>
      </c>
      <c r="AE59" s="137"/>
      <c r="AF59" s="158">
        <v>5763032</v>
      </c>
      <c r="AG59" s="153">
        <v>763032</v>
      </c>
    </row>
    <row r="60" spans="1:33" ht="12.75">
      <c r="A60" s="31">
        <v>8115</v>
      </c>
      <c r="B60" s="142" t="s">
        <v>70</v>
      </c>
      <c r="C60" s="60"/>
      <c r="D60" s="138"/>
      <c r="E60" s="63"/>
      <c r="F60" s="60"/>
      <c r="G60" s="63"/>
      <c r="H60" s="63"/>
      <c r="I60" s="63"/>
      <c r="J60" s="63"/>
      <c r="K60" s="63"/>
      <c r="L60" s="139"/>
      <c r="M60" s="140"/>
      <c r="N60" s="139">
        <v>0</v>
      </c>
      <c r="O60" s="140"/>
      <c r="P60" s="139">
        <v>0</v>
      </c>
      <c r="Q60" s="140"/>
      <c r="R60" s="139">
        <v>500000</v>
      </c>
      <c r="S60" s="139"/>
      <c r="T60" s="139">
        <v>500000</v>
      </c>
      <c r="U60" s="139"/>
      <c r="V60" s="141">
        <v>600000</v>
      </c>
      <c r="W60" s="141"/>
      <c r="X60" s="141">
        <v>2600000</v>
      </c>
      <c r="Y60" s="141"/>
      <c r="Z60" s="141">
        <v>1700000</v>
      </c>
      <c r="AA60" s="141"/>
      <c r="AB60" s="141">
        <v>1200000</v>
      </c>
      <c r="AC60" s="141"/>
      <c r="AD60" s="141">
        <v>1200000</v>
      </c>
      <c r="AE60" s="141"/>
      <c r="AF60" s="148">
        <v>1200000</v>
      </c>
      <c r="AG60" s="141">
        <v>710000</v>
      </c>
    </row>
    <row r="61" spans="1:34" ht="12.75">
      <c r="A61" s="31">
        <v>8115</v>
      </c>
      <c r="B61" s="115" t="s">
        <v>75</v>
      </c>
      <c r="C61" s="32"/>
      <c r="D61" s="32"/>
      <c r="E61" s="63"/>
      <c r="F61" s="60"/>
      <c r="G61" s="63"/>
      <c r="H61" s="72"/>
      <c r="I61" s="63">
        <v>13308.6</v>
      </c>
      <c r="J61" s="30"/>
      <c r="K61" s="30"/>
      <c r="L61" s="123">
        <v>2826.7</v>
      </c>
      <c r="M61" s="30"/>
      <c r="N61" s="123">
        <v>3055.5</v>
      </c>
      <c r="O61" s="30" t="s">
        <v>53</v>
      </c>
      <c r="P61" s="123">
        <v>7400</v>
      </c>
      <c r="Q61" s="30"/>
      <c r="R61" s="123">
        <v>4852.7</v>
      </c>
      <c r="S61" s="122"/>
      <c r="T61" s="122">
        <v>10075.3</v>
      </c>
      <c r="U61" s="122"/>
      <c r="V61" s="122">
        <v>10075.3</v>
      </c>
      <c r="W61" s="122"/>
      <c r="X61" s="122">
        <v>12875.3</v>
      </c>
      <c r="Y61" s="122"/>
      <c r="Z61" s="122">
        <v>28075.3</v>
      </c>
      <c r="AA61" s="122"/>
      <c r="AB61" s="122">
        <v>31510.300000000003</v>
      </c>
      <c r="AC61" s="122"/>
      <c r="AD61" s="122">
        <v>245983.6</v>
      </c>
      <c r="AE61" s="122"/>
      <c r="AF61" s="155">
        <v>245061.2</v>
      </c>
      <c r="AG61" s="155">
        <v>239842.2</v>
      </c>
      <c r="AH61" s="160"/>
    </row>
    <row r="62" spans="1:34" ht="12.75">
      <c r="A62" s="31">
        <v>8115</v>
      </c>
      <c r="B62" s="115" t="s">
        <v>86</v>
      </c>
      <c r="C62" s="32"/>
      <c r="D62" s="32"/>
      <c r="E62" s="63"/>
      <c r="F62" s="60"/>
      <c r="G62" s="63"/>
      <c r="H62" s="72"/>
      <c r="I62" s="63"/>
      <c r="J62" s="30"/>
      <c r="K62" s="30"/>
      <c r="L62" s="123"/>
      <c r="M62" s="30"/>
      <c r="N62" s="123"/>
      <c r="O62" s="30"/>
      <c r="P62" s="123"/>
      <c r="Q62" s="30"/>
      <c r="R62" s="123"/>
      <c r="S62" s="122"/>
      <c r="T62" s="122"/>
      <c r="U62" s="122"/>
      <c r="V62" s="122">
        <v>0</v>
      </c>
      <c r="W62" s="122"/>
      <c r="X62" s="122">
        <v>0</v>
      </c>
      <c r="Y62" s="122"/>
      <c r="Z62" s="122">
        <v>0</v>
      </c>
      <c r="AA62" s="122"/>
      <c r="AB62" s="122">
        <v>0</v>
      </c>
      <c r="AC62" s="122"/>
      <c r="AD62" s="122">
        <v>0</v>
      </c>
      <c r="AE62" s="122"/>
      <c r="AF62" s="155">
        <v>0</v>
      </c>
      <c r="AG62" s="155">
        <v>300000</v>
      </c>
      <c r="AH62" s="160"/>
    </row>
    <row r="63" spans="1:33" ht="12.75">
      <c r="A63" s="31">
        <v>8115</v>
      </c>
      <c r="B63" s="115" t="s">
        <v>73</v>
      </c>
      <c r="C63" s="32"/>
      <c r="D63" s="32"/>
      <c r="E63" s="63"/>
      <c r="F63" s="60"/>
      <c r="G63" s="63"/>
      <c r="H63" s="72"/>
      <c r="I63" s="63"/>
      <c r="J63" s="30"/>
      <c r="K63" s="30"/>
      <c r="L63" s="123"/>
      <c r="M63" s="30"/>
      <c r="N63" s="123">
        <v>0</v>
      </c>
      <c r="O63" s="30"/>
      <c r="P63" s="123">
        <v>0</v>
      </c>
      <c r="Q63" s="30"/>
      <c r="R63" s="123">
        <v>0</v>
      </c>
      <c r="S63" s="122"/>
      <c r="T63" s="122">
        <v>0</v>
      </c>
      <c r="U63" s="122"/>
      <c r="V63" s="122">
        <v>0</v>
      </c>
      <c r="W63" s="122"/>
      <c r="X63" s="122">
        <v>0</v>
      </c>
      <c r="Y63" s="122"/>
      <c r="Z63" s="122">
        <v>2</v>
      </c>
      <c r="AA63" s="122"/>
      <c r="AB63" s="122">
        <v>19</v>
      </c>
      <c r="AC63" s="122"/>
      <c r="AD63" s="122">
        <v>34</v>
      </c>
      <c r="AE63" s="122"/>
      <c r="AF63" s="155">
        <v>15</v>
      </c>
      <c r="AG63" s="155">
        <v>94</v>
      </c>
    </row>
    <row r="64" spans="1:33" ht="12.75">
      <c r="A64" s="31" t="s">
        <v>49</v>
      </c>
      <c r="B64" s="115" t="s">
        <v>61</v>
      </c>
      <c r="C64" s="32"/>
      <c r="D64" s="32"/>
      <c r="E64" s="63">
        <v>29433589.9</v>
      </c>
      <c r="F64" s="60"/>
      <c r="G64" s="63">
        <v>31145183.4</v>
      </c>
      <c r="H64" s="72"/>
      <c r="I64" s="63">
        <v>28053405</v>
      </c>
      <c r="J64" s="30"/>
      <c r="K64" s="30"/>
      <c r="L64" s="123">
        <v>35143761</v>
      </c>
      <c r="M64" s="30"/>
      <c r="N64" s="123">
        <f>33708232.5+15865.8-624</f>
        <v>33723474.3</v>
      </c>
      <c r="O64" s="30"/>
      <c r="P64" s="123">
        <v>35039529.1</v>
      </c>
      <c r="Q64" s="30"/>
      <c r="R64" s="123">
        <v>37973595.4</v>
      </c>
      <c r="S64" s="122"/>
      <c r="T64" s="122">
        <v>40949814.1</v>
      </c>
      <c r="U64" s="122"/>
      <c r="V64" s="122">
        <v>41256607.699999996</v>
      </c>
      <c r="W64" s="122"/>
      <c r="X64" s="122">
        <v>44527139.6</v>
      </c>
      <c r="Y64" s="122"/>
      <c r="Z64" s="122">
        <v>48224421.6</v>
      </c>
      <c r="AA64" s="122"/>
      <c r="AB64" s="122">
        <v>53564401.699999996</v>
      </c>
      <c r="AC64" s="122"/>
      <c r="AD64" s="122">
        <v>58893741.6</v>
      </c>
      <c r="AE64" s="122"/>
      <c r="AF64" s="155">
        <v>59536594.2</v>
      </c>
      <c r="AG64" s="155">
        <v>64762625.4</v>
      </c>
    </row>
    <row r="65" spans="1:34" ht="12.75">
      <c r="A65" s="31">
        <v>5347</v>
      </c>
      <c r="B65" s="115" t="s">
        <v>76</v>
      </c>
      <c r="C65" s="32"/>
      <c r="D65" s="32"/>
      <c r="E65" s="63"/>
      <c r="F65" s="60"/>
      <c r="G65" s="63"/>
      <c r="H65" s="72"/>
      <c r="I65" s="63"/>
      <c r="J65" s="30"/>
      <c r="K65" s="30"/>
      <c r="L65" s="123">
        <v>0</v>
      </c>
      <c r="M65" s="30"/>
      <c r="N65" s="123">
        <v>0</v>
      </c>
      <c r="O65" s="30"/>
      <c r="P65" s="123">
        <v>0</v>
      </c>
      <c r="Q65" s="30"/>
      <c r="R65" s="123">
        <v>0</v>
      </c>
      <c r="S65" s="122"/>
      <c r="T65" s="122">
        <v>4233374.2</v>
      </c>
      <c r="U65" s="122"/>
      <c r="V65" s="128">
        <v>4774112.7</v>
      </c>
      <c r="W65" s="128"/>
      <c r="X65" s="122">
        <v>5015271</v>
      </c>
      <c r="Y65" s="122"/>
      <c r="Z65" s="122">
        <v>5339357</v>
      </c>
      <c r="AA65" s="122"/>
      <c r="AB65" s="122">
        <v>5760734</v>
      </c>
      <c r="AC65" s="122"/>
      <c r="AD65" s="122">
        <v>5939429</v>
      </c>
      <c r="AE65" s="122"/>
      <c r="AF65" s="155">
        <v>6030887.6</v>
      </c>
      <c r="AG65" s="155">
        <v>6155551.6</v>
      </c>
      <c r="AH65" s="161"/>
    </row>
    <row r="66" spans="1:33" ht="12.75">
      <c r="A66" s="31" t="s">
        <v>48</v>
      </c>
      <c r="B66" s="115" t="s">
        <v>55</v>
      </c>
      <c r="C66" s="32"/>
      <c r="D66" s="32"/>
      <c r="E66" s="63">
        <v>13254559.1</v>
      </c>
      <c r="F66" s="60"/>
      <c r="G66" s="63">
        <v>14790617.6</v>
      </c>
      <c r="H66" s="72"/>
      <c r="I66" s="63">
        <f>15554147+522.7+75180+282060+611550+13000</f>
        <v>16536459.7</v>
      </c>
      <c r="J66" s="30"/>
      <c r="K66" s="30"/>
      <c r="L66" s="123">
        <v>11266106.7</v>
      </c>
      <c r="M66" s="30"/>
      <c r="N66" s="123">
        <f>10190811.7+624</f>
        <v>10191435.7</v>
      </c>
      <c r="O66" s="30"/>
      <c r="P66" s="123">
        <v>9281574.2</v>
      </c>
      <c r="Q66" s="30"/>
      <c r="R66" s="123">
        <v>10076827.3</v>
      </c>
      <c r="S66" s="122"/>
      <c r="T66" s="122">
        <v>11157504.14</v>
      </c>
      <c r="U66" s="122"/>
      <c r="V66" s="127">
        <v>12710172.5</v>
      </c>
      <c r="W66" s="127"/>
      <c r="X66" s="122">
        <v>15650870.4</v>
      </c>
      <c r="Y66" s="122"/>
      <c r="Z66" s="122">
        <v>16777110.7</v>
      </c>
      <c r="AA66" s="122"/>
      <c r="AB66" s="122">
        <v>18243633.9</v>
      </c>
      <c r="AC66" s="122"/>
      <c r="AD66" s="122">
        <v>16805306.799999997</v>
      </c>
      <c r="AE66" s="122"/>
      <c r="AF66" s="155">
        <v>14823430.7</v>
      </c>
      <c r="AG66" s="155">
        <v>19680990.599999998</v>
      </c>
    </row>
    <row r="67" spans="1:33" ht="13.5" thickBot="1">
      <c r="A67" s="28"/>
      <c r="B67" s="116" t="s">
        <v>36</v>
      </c>
      <c r="C67" s="29"/>
      <c r="D67" s="29"/>
      <c r="E67" s="64">
        <f>E57-E59-E64-E66</f>
        <v>-15756.700000001118</v>
      </c>
      <c r="F67" s="61"/>
      <c r="G67" s="64">
        <f>G57-G59-G64-G66</f>
        <v>-522.7000000011176</v>
      </c>
      <c r="H67" s="73"/>
      <c r="I67" s="113" t="e">
        <f>I57-I59-#REF!-I61-I64-I66</f>
        <v>#REF!</v>
      </c>
      <c r="J67" s="113"/>
      <c r="K67" s="113"/>
      <c r="L67" s="124" t="e">
        <f>L57-L59-#REF!-L61-L64-L65-L66</f>
        <v>#REF!</v>
      </c>
      <c r="M67" s="113"/>
      <c r="N67" s="124" t="e">
        <f>N57-N59-N60-#REF!-N61-N64-N65-N66</f>
        <v>#REF!</v>
      </c>
      <c r="O67" s="113"/>
      <c r="P67" s="124" t="e">
        <f>P57-P59-P60-P61-P63-P64-P65-#REF!-P66</f>
        <v>#REF!</v>
      </c>
      <c r="Q67" s="113"/>
      <c r="R67" s="124">
        <f>R57-R59-R60-R61-R63-R64-R65-R66</f>
        <v>0</v>
      </c>
      <c r="S67" s="124"/>
      <c r="T67" s="124">
        <f>T57-T59-T60-T61-T63-T64-T65-T66</f>
        <v>0</v>
      </c>
      <c r="U67" s="124"/>
      <c r="V67" s="124">
        <v>0</v>
      </c>
      <c r="W67" s="124"/>
      <c r="X67" s="129">
        <v>0</v>
      </c>
      <c r="Y67" s="129"/>
      <c r="Z67" s="129">
        <v>0</v>
      </c>
      <c r="AA67" s="129"/>
      <c r="AB67" s="129">
        <v>0</v>
      </c>
      <c r="AC67" s="129"/>
      <c r="AD67" s="129">
        <v>0</v>
      </c>
      <c r="AE67" s="129"/>
      <c r="AF67" s="159">
        <v>0</v>
      </c>
      <c r="AG67" s="151">
        <v>0</v>
      </c>
    </row>
    <row r="68" spans="1:33" ht="12.75">
      <c r="A68" s="75" t="s">
        <v>66</v>
      </c>
      <c r="B68" s="75"/>
      <c r="C68" s="76"/>
      <c r="D68" s="76"/>
      <c r="E68" s="76"/>
      <c r="F68" s="76"/>
      <c r="G68" s="77"/>
      <c r="H68" s="77"/>
      <c r="I68" s="77"/>
      <c r="J68" s="77"/>
      <c r="K68" s="77"/>
      <c r="L68" s="77"/>
      <c r="M68" s="77"/>
      <c r="N68" s="77"/>
      <c r="O68" s="77"/>
      <c r="AF68" s="149"/>
      <c r="AG68" s="149"/>
    </row>
    <row r="69" spans="1:33" ht="12.75">
      <c r="A69" s="89"/>
      <c r="B69" s="89"/>
      <c r="C69" s="90"/>
      <c r="D69" s="90"/>
      <c r="E69" s="90"/>
      <c r="F69" s="90"/>
      <c r="G69" s="90"/>
      <c r="H69" s="90"/>
      <c r="I69" s="90"/>
      <c r="J69" s="90"/>
      <c r="K69" s="90"/>
      <c r="L69" s="88"/>
      <c r="M69" s="88"/>
      <c r="N69" s="117"/>
      <c r="O69" s="117"/>
      <c r="V69" s="125"/>
      <c r="W69" s="125"/>
      <c r="AF69" s="156"/>
      <c r="AG69" s="156"/>
    </row>
    <row r="70" spans="1:33" ht="12.75">
      <c r="A70" s="89"/>
      <c r="B70" s="89"/>
      <c r="C70" s="90"/>
      <c r="D70" s="90"/>
      <c r="E70" s="90"/>
      <c r="F70" s="90"/>
      <c r="G70" s="91"/>
      <c r="H70" s="91"/>
      <c r="I70" s="91"/>
      <c r="J70" s="91"/>
      <c r="K70" s="91"/>
      <c r="L70" s="91"/>
      <c r="M70" s="91"/>
      <c r="N70" s="91"/>
      <c r="O70" s="91"/>
      <c r="V70" s="126"/>
      <c r="W70" s="126"/>
      <c r="AF70" s="156"/>
      <c r="AG70" s="156"/>
    </row>
    <row r="71" spans="1:33" ht="12.75">
      <c r="A71" s="89"/>
      <c r="B71" s="89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AF71" s="156"/>
      <c r="AG71" s="156"/>
    </row>
    <row r="78" spans="2:6" ht="12.75">
      <c r="B78" s="40"/>
      <c r="C78" s="41"/>
      <c r="D78" s="41"/>
      <c r="E78" s="41"/>
      <c r="F78" s="42"/>
    </row>
  </sheetData>
  <sheetProtection/>
  <mergeCells count="3">
    <mergeCell ref="A4:A5"/>
    <mergeCell ref="B4:B5"/>
    <mergeCell ref="A3:AG3"/>
  </mergeCells>
  <printOptions horizontalCentered="1" verticalCentered="1"/>
  <pageMargins left="0.31496062992125984" right="0.11811023622047245" top="0.1968503937007874" bottom="0.1968503937007874" header="0.31496062992125984" footer="0.31496062992125984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Rada zastupitelstva MHMP (MHMP)</cp:lastModifiedBy>
  <cp:lastPrinted>2021-11-19T12:36:19Z</cp:lastPrinted>
  <dcterms:created xsi:type="dcterms:W3CDTF">2003-08-21T12:59:42Z</dcterms:created>
  <dcterms:modified xsi:type="dcterms:W3CDTF">2021-12-16T11:56:27Z</dcterms:modified>
  <cp:category/>
  <cp:version/>
  <cp:contentType/>
  <cp:contentStatus/>
</cp:coreProperties>
</file>